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revisions/revisionLog1111.xml" ContentType="application/vnd.openxmlformats-officedocument.spreadsheetml.revisionLog+xml"/>
  <Override PartName="/xl/revisions/revisionLog12111.xml" ContentType="application/vnd.openxmlformats-officedocument.spreadsheetml.revisionLog+xml"/>
  <Override PartName="/xl/revisions/revisionLog131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31111.xml" ContentType="application/vnd.openxmlformats-officedocument.spreadsheetml.revisionLog+xml"/>
  <Override PartName="/xl/revisions/revisionLog141111.xml" ContentType="application/vnd.openxmlformats-officedocument.spreadsheetml.revisionLog+xml"/>
  <Override PartName="/xl/worksheets/sheet6.xml" ContentType="application/vnd.openxmlformats-officedocument.spreadsheetml.worksheet+xml"/>
  <Default Extension="rels" ContentType="application/vnd.openxmlformats-package.relationships+xml"/>
  <Override PartName="/xl/revisions/revisionLog1411.xml" ContentType="application/vnd.openxmlformats-officedocument.spreadsheetml.revisionLog+xml"/>
  <Override PartName="/xl/revisions/revisionLog151.xml" ContentType="application/vnd.openxmlformats-officedocument.spreadsheetml.revisionLog+xml"/>
  <Override PartName="/xl/revisions/revisionLog121111.xml" ContentType="application/vnd.openxmlformats-officedocument.spreadsheetml.revisionLog+xml"/>
  <Override PartName="/xl/revisions/revisionLog161.xml" ContentType="application/vnd.openxmlformats-officedocument.spreadsheetml.revisionLog+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6.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211.xml" ContentType="application/vnd.openxmlformats-officedocument.spreadsheetml.revisionLo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Override PartName="/xl/revisions/revisionLog11111.xml" ContentType="application/vnd.openxmlformats-officedocument.spreadsheetml.revisionLog+xml"/>
  <Override PartName="/xl/revisions/revisionLog13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15" windowWidth="20955" windowHeight="9465" tabRatio="603" activeTab="1"/>
  </bookViews>
  <sheets>
    <sheet name="DAP 6" sheetId="1" r:id="rId1"/>
    <sheet name="DAP5" sheetId="2" r:id="rId2"/>
    <sheet name="DAP4" sheetId="3" r:id="rId3"/>
    <sheet name="DAP 3" sheetId="4" r:id="rId4"/>
    <sheet name="DAP 2" sheetId="5" r:id="rId5"/>
    <sheet name="DAP1" sheetId="6" r:id="rId6"/>
  </sheets>
  <definedNames>
    <definedName name="_xlnm.Print_Area" localSheetId="4">'DAP 2'!$A$1:$U$120</definedName>
    <definedName name="_xlnm.Print_Area" localSheetId="3">'DAP 3'!$A$1:$V$1717</definedName>
    <definedName name="_xlnm.Print_Area" localSheetId="0">'DAP 6'!$A$1:$V$88</definedName>
    <definedName name="_xlnm.Print_Area" localSheetId="5">'DAP1'!$A$1:$W$2888</definedName>
    <definedName name="_xlnm.Print_Area" localSheetId="2">'DAP4'!$A$1:$V$69</definedName>
    <definedName name="_xlnm.Print_Area" localSheetId="1">'DAP5'!$A$1:$U$305</definedName>
    <definedName name="_xlnm.Print_Titles" localSheetId="4">'DAP 2'!$1:$5</definedName>
    <definedName name="_xlnm.Print_Titles" localSheetId="3">'DAP 3'!$1:$5</definedName>
    <definedName name="_xlnm.Print_Titles" localSheetId="0">'DAP 6'!$1:$5</definedName>
    <definedName name="_xlnm.Print_Titles" localSheetId="5">'DAP1'!$1:$5</definedName>
    <definedName name="_xlnm.Print_Titles" localSheetId="2">'DAP4'!$1:$5</definedName>
    <definedName name="_xlnm.Print_Titles" localSheetId="1">'DAP5'!$1:$5</definedName>
    <definedName name="Z_0D143C80_1B42_417D_B6C0_C88521CF36C7_.wvu.Cols" localSheetId="4" hidden="1">'DAP 2'!$G:$H,'DAP 2'!$J:$L,'DAP 2'!$N:$N,'DAP 2'!$T:$T</definedName>
    <definedName name="Z_0D143C80_1B42_417D_B6C0_C88521CF36C7_.wvu.Cols" localSheetId="3" hidden="1">'DAP 3'!$C:$C,'DAP 3'!$H:$I,'DAP 3'!$K:$M,'DAP 3'!$O:$O,'DAP 3'!$U:$U</definedName>
    <definedName name="Z_0D143C80_1B42_417D_B6C0_C88521CF36C7_.wvu.Cols" localSheetId="0" hidden="1">'DAP 6'!$C:$C,'DAP 6'!$H:$I,'DAP 6'!$K:$M,'DAP 6'!$O:$O,'DAP 6'!$U:$U,'DAP 6'!$IJ:$IP</definedName>
    <definedName name="Z_0D143C80_1B42_417D_B6C0_C88521CF36C7_.wvu.Cols" localSheetId="5" hidden="1">'DAP1'!$G:$H,'DAP1'!$J:$L,'DAP1'!$N:$N,'DAP1'!$V:$V,'DAP1'!$X:$Y</definedName>
    <definedName name="Z_0D143C80_1B42_417D_B6C0_C88521CF36C7_.wvu.Cols" localSheetId="2" hidden="1">'DAP4'!$C:$C,'DAP4'!$H:$I,'DAP4'!$K:$M,'DAP4'!$O:$O,'DAP4'!$U:$U,'DAP4'!$W:$X</definedName>
    <definedName name="Z_0D143C80_1B42_417D_B6C0_C88521CF36C7_.wvu.Cols" localSheetId="1" hidden="1">'DAP5'!$G:$H,'DAP5'!$J:$L,'DAP5'!$N:$N,'DAP5'!$T:$T,'DAP5'!$II:$IO</definedName>
    <definedName name="Z_0D143C80_1B42_417D_B6C0_C88521CF36C7_.wvu.PrintArea" localSheetId="4" hidden="1">'DAP 2'!$A$1:$U$120</definedName>
    <definedName name="Z_0D143C80_1B42_417D_B6C0_C88521CF36C7_.wvu.PrintArea" localSheetId="3" hidden="1">'DAP 3'!$A$1:$V$1717</definedName>
    <definedName name="Z_0D143C80_1B42_417D_B6C0_C88521CF36C7_.wvu.PrintArea" localSheetId="0" hidden="1">'DAP 6'!$A$1:$V$88</definedName>
    <definedName name="Z_0D143C80_1B42_417D_B6C0_C88521CF36C7_.wvu.PrintArea" localSheetId="5" hidden="1">'DAP1'!$A$1:$W$2888</definedName>
    <definedName name="Z_0D143C80_1B42_417D_B6C0_C88521CF36C7_.wvu.PrintArea" localSheetId="2" hidden="1">'DAP4'!$A$1:$V$69</definedName>
    <definedName name="Z_0D143C80_1B42_417D_B6C0_C88521CF36C7_.wvu.PrintArea" localSheetId="1" hidden="1">'DAP5'!$A$1:$U$305</definedName>
    <definedName name="Z_0D143C80_1B42_417D_B6C0_C88521CF36C7_.wvu.PrintTitles" localSheetId="4" hidden="1">'DAP 2'!$1:$5</definedName>
    <definedName name="Z_0D143C80_1B42_417D_B6C0_C88521CF36C7_.wvu.PrintTitles" localSheetId="3" hidden="1">'DAP 3'!$1:$5</definedName>
    <definedName name="Z_0D143C80_1B42_417D_B6C0_C88521CF36C7_.wvu.PrintTitles" localSheetId="0" hidden="1">'DAP 6'!$1:$5</definedName>
    <definedName name="Z_0D143C80_1B42_417D_B6C0_C88521CF36C7_.wvu.PrintTitles" localSheetId="5" hidden="1">'DAP1'!$1:$5</definedName>
    <definedName name="Z_0D143C80_1B42_417D_B6C0_C88521CF36C7_.wvu.PrintTitles" localSheetId="2" hidden="1">'DAP4'!$1:$5</definedName>
    <definedName name="Z_0D143C80_1B42_417D_B6C0_C88521CF36C7_.wvu.PrintTitles" localSheetId="1" hidden="1">'DAP5'!$1:$5</definedName>
    <definedName name="Z_0D143C80_1B42_417D_B6C0_C88521CF36C7_.wvu.Rows" localSheetId="5" hidden="1">'DAP1'!$196:$214,'DAP1'!$421:$421,'DAP1'!$2745:$2745</definedName>
    <definedName name="Z_5032F846_223D_4C05_81F5_66ECC60A941D_.wvu.Cols" localSheetId="4" hidden="1">'DAP 2'!$G:$H,'DAP 2'!$J:$L,'DAP 2'!$N:$N,'DAP 2'!$T:$T</definedName>
    <definedName name="Z_5032F846_223D_4C05_81F5_66ECC60A941D_.wvu.Cols" localSheetId="3" hidden="1">'DAP 3'!$C:$C,'DAP 3'!$H:$I,'DAP 3'!$K:$M,'DAP 3'!$O:$O,'DAP 3'!$U:$U</definedName>
    <definedName name="Z_5032F846_223D_4C05_81F5_66ECC60A941D_.wvu.Cols" localSheetId="0" hidden="1">'DAP 6'!$C:$C,'DAP 6'!$H:$I,'DAP 6'!$K:$M,'DAP 6'!$O:$O,'DAP 6'!$U:$U,'DAP 6'!$IJ:$IP</definedName>
    <definedName name="Z_5032F846_223D_4C05_81F5_66ECC60A941D_.wvu.Cols" localSheetId="5" hidden="1">'DAP1'!$G:$G,'DAP1'!$J:$L,'DAP1'!$N:$N,'DAP1'!$V:$V,'DAP1'!$X:$Y</definedName>
    <definedName name="Z_5032F846_223D_4C05_81F5_66ECC60A941D_.wvu.Cols" localSheetId="2" hidden="1">'DAP4'!$C:$C,'DAP4'!$H:$I,'DAP4'!$K:$M,'DAP4'!$O:$O,'DAP4'!$U:$U,'DAP4'!$W:$X</definedName>
    <definedName name="Z_5032F846_223D_4C05_81F5_66ECC60A941D_.wvu.Cols" localSheetId="1" hidden="1">'DAP5'!$G:$H,'DAP5'!$J:$L,'DAP5'!$N:$N,'DAP5'!$T:$T,'DAP5'!$II:$IO</definedName>
    <definedName name="Z_5032F846_223D_4C05_81F5_66ECC60A941D_.wvu.PrintArea" localSheetId="4" hidden="1">'DAP 2'!$A$1:$U$120</definedName>
    <definedName name="Z_5032F846_223D_4C05_81F5_66ECC60A941D_.wvu.PrintArea" localSheetId="3" hidden="1">'DAP 3'!$B$1:$V$1717</definedName>
    <definedName name="Z_5032F846_223D_4C05_81F5_66ECC60A941D_.wvu.PrintArea" localSheetId="0" hidden="1">'DAP 6'!$B$1:$V$88</definedName>
    <definedName name="Z_5032F846_223D_4C05_81F5_66ECC60A941D_.wvu.PrintArea" localSheetId="5" hidden="1">'DAP1'!$A$1:$W$2888</definedName>
    <definedName name="Z_5032F846_223D_4C05_81F5_66ECC60A941D_.wvu.PrintArea" localSheetId="2" hidden="1">'DAP4'!$B$1:$V$69</definedName>
    <definedName name="Z_5032F846_223D_4C05_81F5_66ECC60A941D_.wvu.PrintArea" localSheetId="1" hidden="1">'DAP5'!$B$1:$U$305</definedName>
    <definedName name="Z_5032F846_223D_4C05_81F5_66ECC60A941D_.wvu.PrintTitles" localSheetId="4" hidden="1">'DAP 2'!$1:$5</definedName>
    <definedName name="Z_5032F846_223D_4C05_81F5_66ECC60A941D_.wvu.PrintTitles" localSheetId="3" hidden="1">'DAP 3'!$1:$5</definedName>
    <definedName name="Z_5032F846_223D_4C05_81F5_66ECC60A941D_.wvu.PrintTitles" localSheetId="0" hidden="1">'DAP 6'!$1:$5</definedName>
    <definedName name="Z_5032F846_223D_4C05_81F5_66ECC60A941D_.wvu.PrintTitles" localSheetId="5" hidden="1">'DAP1'!$1:$5</definedName>
    <definedName name="Z_5032F846_223D_4C05_81F5_66ECC60A941D_.wvu.PrintTitles" localSheetId="2" hidden="1">'DAP4'!$1:$5</definedName>
    <definedName name="Z_5032F846_223D_4C05_81F5_66ECC60A941D_.wvu.PrintTitles" localSheetId="1" hidden="1">'DAP5'!$1:$5</definedName>
    <definedName name="Z_5032F846_223D_4C05_81F5_66ECC60A941D_.wvu.Rows" localSheetId="5" hidden="1">'DAP1'!$196:$214,'DAP1'!$421:$421,'DAP1'!$2145:$2151,'DAP1'!$2745:$2745</definedName>
    <definedName name="Z_5032F846_223D_4C05_81F5_66ECC60A941D_.wvu.Rows" localSheetId="2" hidden="1">'DAP4'!$39:$40,'DAP4'!$59:$66</definedName>
  </definedNames>
  <calcPr calcId="124519"/>
  <customWorkbookViews>
    <customWorkbookView name="sabuel - Personal View" guid="{0D143C80-1B42-417D-B6C0-C88521CF36C7}" mergeInterval="0" personalView="1" maximized="1" xWindow="1" yWindow="1" windowWidth="1440" windowHeight="680" tabRatio="603" activeSheetId="2" showComments="commIndAndComment"/>
    <customWorkbookView name="mmarasigan - Personal View" guid="{5032F846-223D-4C05-81F5-66ECC60A941D}" mergeInterval="0" personalView="1" maximized="1" xWindow="1" yWindow="1" windowWidth="1436" windowHeight="679" activeSheetId="6"/>
  </customWorkbookViews>
</workbook>
</file>

<file path=xl/calcChain.xml><?xml version="1.0" encoding="utf-8"?>
<calcChain xmlns="http://schemas.openxmlformats.org/spreadsheetml/2006/main">
  <c r="S960" i="4"/>
  <c r="R960"/>
  <c r="R1201" i="6"/>
  <c r="R1241"/>
  <c r="R1477"/>
  <c r="R1504"/>
  <c r="R420"/>
  <c r="Q1201"/>
  <c r="Q1241"/>
  <c r="Q1477"/>
  <c r="Q1504"/>
  <c r="M2619"/>
  <c r="X2619"/>
  <c r="Y2619"/>
  <c r="M2620"/>
  <c r="X2620"/>
  <c r="Y2620" s="1"/>
  <c r="M2621"/>
  <c r="Y2621" s="1"/>
  <c r="X2621"/>
  <c r="R2497"/>
  <c r="Q2497"/>
  <c r="R2461"/>
  <c r="Q2461"/>
  <c r="R2401"/>
  <c r="Q2401"/>
  <c r="R1889"/>
  <c r="R36" i="5"/>
  <c r="R86"/>
  <c r="Q274" i="2"/>
  <c r="Q272" s="1"/>
  <c r="Q268" s="1"/>
  <c r="R172"/>
  <c r="Q172"/>
  <c r="Q146" s="1"/>
  <c r="Q27" s="1"/>
  <c r="S1554" i="4"/>
  <c r="R1554"/>
  <c r="S1260"/>
  <c r="R1260"/>
  <c r="S1233"/>
  <c r="R1233"/>
  <c r="S1222"/>
  <c r="R1222"/>
  <c r="S1200"/>
  <c r="R1200"/>
  <c r="S1179"/>
  <c r="R1179"/>
  <c r="R1157" s="1"/>
  <c r="R682" s="1"/>
  <c r="R1125"/>
  <c r="S1102"/>
  <c r="R1102"/>
  <c r="S1023"/>
  <c r="R1023"/>
  <c r="S991"/>
  <c r="R991"/>
  <c r="S861"/>
  <c r="R861"/>
  <c r="S833"/>
  <c r="R833"/>
  <c r="S743"/>
  <c r="R743"/>
  <c r="Q678" i="6"/>
  <c r="R678"/>
  <c r="R2696"/>
  <c r="Q2696"/>
  <c r="R2710"/>
  <c r="Q2710"/>
  <c r="M2710"/>
  <c r="K2720"/>
  <c r="S1128" i="4"/>
  <c r="R1128"/>
  <c r="S844"/>
  <c r="R844"/>
  <c r="S693"/>
  <c r="S683" s="1"/>
  <c r="S682" s="1"/>
  <c r="R693"/>
  <c r="R263" i="2"/>
  <c r="R262" s="1"/>
  <c r="Q263"/>
  <c r="Q262" s="1"/>
  <c r="S22" i="1"/>
  <c r="R22"/>
  <c r="S27"/>
  <c r="R27"/>
  <c r="S30"/>
  <c r="R30"/>
  <c r="S35"/>
  <c r="R35"/>
  <c r="S39"/>
  <c r="R39"/>
  <c r="S43"/>
  <c r="S42" s="1"/>
  <c r="R43"/>
  <c r="R42" s="1"/>
  <c r="S72"/>
  <c r="R72"/>
  <c r="S69"/>
  <c r="R69"/>
  <c r="S66"/>
  <c r="R66"/>
  <c r="S63"/>
  <c r="R63"/>
  <c r="S60"/>
  <c r="R60"/>
  <c r="S57"/>
  <c r="R57"/>
  <c r="S54"/>
  <c r="S53" s="1"/>
  <c r="R54"/>
  <c r="R53" s="1"/>
  <c r="S76"/>
  <c r="S75" s="1"/>
  <c r="R76"/>
  <c r="R75" s="1"/>
  <c r="S83"/>
  <c r="S82" s="1"/>
  <c r="R83"/>
  <c r="R82" s="1"/>
  <c r="R300" i="2"/>
  <c r="R299" s="1"/>
  <c r="Q300"/>
  <c r="Q299" s="1"/>
  <c r="R296"/>
  <c r="R295" s="1"/>
  <c r="Q296"/>
  <c r="Q295" s="1"/>
  <c r="R292"/>
  <c r="R291" s="1"/>
  <c r="Q292"/>
  <c r="Q291" s="1"/>
  <c r="R288"/>
  <c r="R287" s="1"/>
  <c r="Q288"/>
  <c r="Q287" s="1"/>
  <c r="R284"/>
  <c r="Q284"/>
  <c r="R282"/>
  <c r="R281" s="1"/>
  <c r="Q282"/>
  <c r="Q281" s="1"/>
  <c r="R278"/>
  <c r="Q278"/>
  <c r="R272"/>
  <c r="R269"/>
  <c r="R268" s="1"/>
  <c r="Q269"/>
  <c r="R252"/>
  <c r="R251" s="1"/>
  <c r="Q252"/>
  <c r="Q251"/>
  <c r="R248"/>
  <c r="R247" s="1"/>
  <c r="Q248"/>
  <c r="Q247" s="1"/>
  <c r="R243"/>
  <c r="Q243"/>
  <c r="R237"/>
  <c r="Q237"/>
  <c r="R230"/>
  <c r="Q230"/>
  <c r="R227"/>
  <c r="Q227"/>
  <c r="R223"/>
  <c r="R222" s="1"/>
  <c r="Q223"/>
  <c r="Q222" s="1"/>
  <c r="R146"/>
  <c r="R143"/>
  <c r="Q143"/>
  <c r="R140"/>
  <c r="Q140"/>
  <c r="R133"/>
  <c r="Q133"/>
  <c r="Q132"/>
  <c r="R119"/>
  <c r="R118"/>
  <c r="Q119"/>
  <c r="Q118"/>
  <c r="R80"/>
  <c r="R79"/>
  <c r="Q80"/>
  <c r="Q79"/>
  <c r="R72"/>
  <c r="R71"/>
  <c r="Q72"/>
  <c r="Q71"/>
  <c r="R59"/>
  <c r="R58"/>
  <c r="Q59"/>
  <c r="Q58"/>
  <c r="R54"/>
  <c r="Q54"/>
  <c r="R48"/>
  <c r="Q48"/>
  <c r="R45"/>
  <c r="Q45"/>
  <c r="R42"/>
  <c r="Q42"/>
  <c r="R39"/>
  <c r="Q39"/>
  <c r="R36"/>
  <c r="R35"/>
  <c r="Q36"/>
  <c r="Q35"/>
  <c r="R31"/>
  <c r="Q31"/>
  <c r="R29"/>
  <c r="R28"/>
  <c r="Q29"/>
  <c r="Q28"/>
  <c r="R24"/>
  <c r="R23"/>
  <c r="Q24"/>
  <c r="Q23"/>
  <c r="R14"/>
  <c r="R13"/>
  <c r="Q14"/>
  <c r="Q13"/>
  <c r="S1601" i="4"/>
  <c r="R1601"/>
  <c r="S1712"/>
  <c r="S1711" s="1"/>
  <c r="R1712"/>
  <c r="R1711" s="1"/>
  <c r="S1706"/>
  <c r="R1706"/>
  <c r="S1703"/>
  <c r="R1703"/>
  <c r="S1700"/>
  <c r="S1699" s="1"/>
  <c r="R1700"/>
  <c r="S1680"/>
  <c r="R1680"/>
  <c r="R1657"/>
  <c r="S1647"/>
  <c r="R1647"/>
  <c r="S1620"/>
  <c r="R1620"/>
  <c r="S1612"/>
  <c r="R1612"/>
  <c r="S678"/>
  <c r="R678"/>
  <c r="R676" s="1"/>
  <c r="S676"/>
  <c r="S673"/>
  <c r="R673"/>
  <c r="S650"/>
  <c r="S649"/>
  <c r="R650"/>
  <c r="S646"/>
  <c r="R646"/>
  <c r="S564"/>
  <c r="R564"/>
  <c r="S522"/>
  <c r="R522"/>
  <c r="S506"/>
  <c r="S505" s="1"/>
  <c r="R506"/>
  <c r="R505" s="1"/>
  <c r="R499"/>
  <c r="R73" i="5"/>
  <c r="Q73"/>
  <c r="R84"/>
  <c r="Q84"/>
  <c r="R92"/>
  <c r="R91" s="1"/>
  <c r="R90" s="1"/>
  <c r="R83" s="1"/>
  <c r="Q92"/>
  <c r="Q91"/>
  <c r="Q90" s="1"/>
  <c r="Q83" s="1"/>
  <c r="R98"/>
  <c r="Q98"/>
  <c r="R103"/>
  <c r="Q103"/>
  <c r="R108"/>
  <c r="Q108"/>
  <c r="R113"/>
  <c r="R112" s="1"/>
  <c r="Q113"/>
  <c r="Q112"/>
  <c r="R65"/>
  <c r="R64" s="1"/>
  <c r="Q65"/>
  <c r="Q64" s="1"/>
  <c r="R61"/>
  <c r="R60" s="1"/>
  <c r="Q61"/>
  <c r="Q60" s="1"/>
  <c r="R53"/>
  <c r="Q53"/>
  <c r="R50"/>
  <c r="R49" s="1"/>
  <c r="R48" s="1"/>
  <c r="Q50"/>
  <c r="Q49" s="1"/>
  <c r="Q48" s="1"/>
  <c r="R40"/>
  <c r="Q40"/>
  <c r="R35"/>
  <c r="R34"/>
  <c r="Q35"/>
  <c r="Q34"/>
  <c r="Q23"/>
  <c r="R23"/>
  <c r="R20"/>
  <c r="Q20"/>
  <c r="R16"/>
  <c r="Q16"/>
  <c r="R11"/>
  <c r="R10"/>
  <c r="Q11"/>
  <c r="Q10"/>
  <c r="R1699" i="4"/>
  <c r="R1611"/>
  <c r="R132" i="2"/>
  <c r="Q70" i="5"/>
  <c r="R70"/>
  <c r="R51" i="6"/>
  <c r="Q51"/>
  <c r="Q47"/>
  <c r="Q45"/>
  <c r="R42"/>
  <c r="Q42"/>
  <c r="R36"/>
  <c r="Q36"/>
  <c r="R33"/>
  <c r="Q33"/>
  <c r="R30"/>
  <c r="Q30"/>
  <c r="R27"/>
  <c r="Q27"/>
  <c r="R22"/>
  <c r="Q22"/>
  <c r="R19"/>
  <c r="Q19"/>
  <c r="Q9" s="1"/>
  <c r="Q13"/>
  <c r="R10"/>
  <c r="Q10"/>
  <c r="Q1516"/>
  <c r="R1513"/>
  <c r="Q1513"/>
  <c r="R1510"/>
  <c r="Q1510"/>
  <c r="N1260" i="4"/>
  <c r="S1196"/>
  <c r="R1196"/>
  <c r="M2749" i="6"/>
  <c r="R2749"/>
  <c r="Q2749"/>
  <c r="R2685"/>
  <c r="Q2685"/>
  <c r="R2660"/>
  <c r="Q2660"/>
  <c r="R2585"/>
  <c r="Q2585"/>
  <c r="M2551"/>
  <c r="R2551"/>
  <c r="Q2551"/>
  <c r="R2528"/>
  <c r="Q2528"/>
  <c r="R2474"/>
  <c r="Q2474"/>
  <c r="R2430"/>
  <c r="Q2430"/>
  <c r="M2422"/>
  <c r="Y2422" s="1"/>
  <c r="R2422"/>
  <c r="Q2422"/>
  <c r="R2410"/>
  <c r="Q2410"/>
  <c r="M2278"/>
  <c r="M2368"/>
  <c r="L2375"/>
  <c r="M2375"/>
  <c r="R2375"/>
  <c r="Q2375"/>
  <c r="R2368"/>
  <c r="Q2368"/>
  <c r="R2278"/>
  <c r="Q2278"/>
  <c r="N1197" i="4"/>
  <c r="N1198"/>
  <c r="N1176"/>
  <c r="N1177"/>
  <c r="N1178"/>
  <c r="N1152"/>
  <c r="N1153"/>
  <c r="N997"/>
  <c r="N998"/>
  <c r="N988"/>
  <c r="N987"/>
  <c r="N928"/>
  <c r="N929"/>
  <c r="N880"/>
  <c r="N881"/>
  <c r="M2697" i="6"/>
  <c r="M2698"/>
  <c r="M2586"/>
  <c r="M2587"/>
  <c r="M2529"/>
  <c r="M2530"/>
  <c r="M2475"/>
  <c r="M2476"/>
  <c r="M2477"/>
  <c r="M2431"/>
  <c r="M2432"/>
  <c r="M2433"/>
  <c r="M2434"/>
  <c r="M1241"/>
  <c r="M1242"/>
  <c r="M1243"/>
  <c r="M1244"/>
  <c r="M1245"/>
  <c r="M1246"/>
  <c r="M1247"/>
  <c r="M1248"/>
  <c r="M1249"/>
  <c r="M1250"/>
  <c r="M1251"/>
  <c r="M1252"/>
  <c r="M1253"/>
  <c r="M1254"/>
  <c r="M1255"/>
  <c r="M1256"/>
  <c r="M1257"/>
  <c r="M1258"/>
  <c r="M1259"/>
  <c r="M1260"/>
  <c r="M1261"/>
  <c r="M1262"/>
  <c r="M1263"/>
  <c r="M1264"/>
  <c r="M1265"/>
  <c r="M1266"/>
  <c r="M1267"/>
  <c r="M1268"/>
  <c r="M1269"/>
  <c r="M1270"/>
  <c r="M1271"/>
  <c r="M1272"/>
  <c r="M1273"/>
  <c r="M1274"/>
  <c r="M1275"/>
  <c r="M1276"/>
  <c r="M1277"/>
  <c r="M1278"/>
  <c r="M1279"/>
  <c r="M1280"/>
  <c r="M1281"/>
  <c r="M1282"/>
  <c r="M1283"/>
  <c r="M1284"/>
  <c r="M1285"/>
  <c r="M1286"/>
  <c r="M1287"/>
  <c r="M1288"/>
  <c r="M1289"/>
  <c r="M1290"/>
  <c r="M1291"/>
  <c r="M1292"/>
  <c r="M1293"/>
  <c r="M1294"/>
  <c r="M1295"/>
  <c r="M1296"/>
  <c r="M1297"/>
  <c r="M1298"/>
  <c r="M1299"/>
  <c r="M1300"/>
  <c r="M1301"/>
  <c r="M1302"/>
  <c r="M778"/>
  <c r="M779"/>
  <c r="M780"/>
  <c r="M781"/>
  <c r="M782"/>
  <c r="M783"/>
  <c r="M784"/>
  <c r="M785"/>
  <c r="M786"/>
  <c r="M787"/>
  <c r="M788"/>
  <c r="M789"/>
  <c r="M790"/>
  <c r="M791"/>
  <c r="M792"/>
  <c r="M793"/>
  <c r="M794"/>
  <c r="M795"/>
  <c r="M796"/>
  <c r="M797"/>
  <c r="M798"/>
  <c r="M799"/>
  <c r="M800"/>
  <c r="M801"/>
  <c r="M802"/>
  <c r="M803"/>
  <c r="M804"/>
  <c r="M805"/>
  <c r="M806"/>
  <c r="M807"/>
  <c r="M808"/>
  <c r="M809"/>
  <c r="M810"/>
  <c r="M811"/>
  <c r="M812"/>
  <c r="M813"/>
  <c r="M814"/>
  <c r="M815"/>
  <c r="M816"/>
  <c r="M817"/>
  <c r="M818"/>
  <c r="M819"/>
  <c r="M820"/>
  <c r="M821"/>
  <c r="M822"/>
  <c r="M823"/>
  <c r="M824"/>
  <c r="M825"/>
  <c r="M826"/>
  <c r="M827"/>
  <c r="M828"/>
  <c r="M829"/>
  <c r="M830"/>
  <c r="M831"/>
  <c r="M832"/>
  <c r="M833"/>
  <c r="M834"/>
  <c r="M835"/>
  <c r="M836"/>
  <c r="M837"/>
  <c r="M838"/>
  <c r="M839"/>
  <c r="M840"/>
  <c r="M841"/>
  <c r="M842"/>
  <c r="M843"/>
  <c r="M844"/>
  <c r="M845"/>
  <c r="M846"/>
  <c r="M847"/>
  <c r="M848"/>
  <c r="M849"/>
  <c r="M850"/>
  <c r="M851"/>
  <c r="M852"/>
  <c r="M853"/>
  <c r="M854"/>
  <c r="N743" i="4"/>
  <c r="N744"/>
  <c r="N745"/>
  <c r="N746"/>
  <c r="N747"/>
  <c r="N748"/>
  <c r="N749"/>
  <c r="N833"/>
  <c r="N834"/>
  <c r="N835"/>
  <c r="N836"/>
  <c r="N837"/>
  <c r="N838"/>
  <c r="N839"/>
  <c r="N840"/>
  <c r="N841"/>
  <c r="N861"/>
  <c r="N862"/>
  <c r="N863"/>
  <c r="N864"/>
  <c r="Q1509" i="6"/>
  <c r="N1264" i="4"/>
  <c r="N1263"/>
  <c r="N1262"/>
  <c r="N1261"/>
  <c r="N1238"/>
  <c r="N1237"/>
  <c r="N1236"/>
  <c r="N1235"/>
  <c r="N1234"/>
  <c r="N1202"/>
  <c r="N1201"/>
  <c r="N1184"/>
  <c r="N1183"/>
  <c r="N1182"/>
  <c r="N1181"/>
  <c r="N1180"/>
  <c r="N1104"/>
  <c r="N1103"/>
  <c r="N1025"/>
  <c r="N1024"/>
  <c r="N994"/>
  <c r="N993"/>
  <c r="N992"/>
  <c r="N991"/>
  <c r="M1240" i="6"/>
  <c r="M1239"/>
  <c r="M1238"/>
  <c r="M1237"/>
  <c r="M1236"/>
  <c r="M1235"/>
  <c r="M1234"/>
  <c r="M1233"/>
  <c r="M1232"/>
  <c r="M1231"/>
  <c r="M1230"/>
  <c r="M1229"/>
  <c r="M1228"/>
  <c r="M1227"/>
  <c r="M1226"/>
  <c r="M1225"/>
  <c r="M1224"/>
  <c r="M1223"/>
  <c r="M1222"/>
  <c r="M1221"/>
  <c r="M1220"/>
  <c r="M1219"/>
  <c r="M1218"/>
  <c r="M1217"/>
  <c r="M1216"/>
  <c r="M1215"/>
  <c r="M1214"/>
  <c r="M1213"/>
  <c r="M1212"/>
  <c r="M1211"/>
  <c r="M1210"/>
  <c r="M1209"/>
  <c r="M1208"/>
  <c r="M1207"/>
  <c r="M1206"/>
  <c r="M1205"/>
  <c r="M1204"/>
  <c r="M1203"/>
  <c r="M1202"/>
  <c r="M776"/>
  <c r="M775"/>
  <c r="M774"/>
  <c r="M773"/>
  <c r="M772"/>
  <c r="M771"/>
  <c r="M770"/>
  <c r="M769"/>
  <c r="M768"/>
  <c r="M767"/>
  <c r="M766"/>
  <c r="M765"/>
  <c r="M764"/>
  <c r="M763"/>
  <c r="M762"/>
  <c r="M761"/>
  <c r="M760"/>
  <c r="M759"/>
  <c r="M758"/>
  <c r="M757"/>
  <c r="M756"/>
  <c r="M755"/>
  <c r="M754"/>
  <c r="M753"/>
  <c r="M752"/>
  <c r="M751"/>
  <c r="M750"/>
  <c r="M749"/>
  <c r="M748"/>
  <c r="M747"/>
  <c r="M746"/>
  <c r="M745"/>
  <c r="M744"/>
  <c r="M743"/>
  <c r="M742"/>
  <c r="M741"/>
  <c r="M740"/>
  <c r="M739"/>
  <c r="M738"/>
  <c r="M737"/>
  <c r="M736"/>
  <c r="M735"/>
  <c r="M734"/>
  <c r="M733"/>
  <c r="M732"/>
  <c r="M731"/>
  <c r="M730"/>
  <c r="M729"/>
  <c r="M728"/>
  <c r="M727"/>
  <c r="M726"/>
  <c r="M725"/>
  <c r="M724"/>
  <c r="M723"/>
  <c r="M722"/>
  <c r="M721"/>
  <c r="M720"/>
  <c r="M719"/>
  <c r="M718"/>
  <c r="M717"/>
  <c r="M716"/>
  <c r="M715"/>
  <c r="M714"/>
  <c r="M713"/>
  <c r="M712"/>
  <c r="M711"/>
  <c r="M710"/>
  <c r="M709"/>
  <c r="M708"/>
  <c r="M707"/>
  <c r="M706"/>
  <c r="M705"/>
  <c r="M704"/>
  <c r="M703"/>
  <c r="M702"/>
  <c r="M701"/>
  <c r="M700"/>
  <c r="M699"/>
  <c r="M698"/>
  <c r="M697"/>
  <c r="M696"/>
  <c r="M695"/>
  <c r="M694"/>
  <c r="M693"/>
  <c r="M692"/>
  <c r="M691"/>
  <c r="M690"/>
  <c r="M689"/>
  <c r="M688"/>
  <c r="M687"/>
  <c r="M686"/>
  <c r="M685"/>
  <c r="M684"/>
  <c r="M683"/>
  <c r="M682"/>
  <c r="M681"/>
  <c r="M680"/>
  <c r="M679"/>
  <c r="M2751"/>
  <c r="M2750"/>
  <c r="M2712"/>
  <c r="M2711"/>
  <c r="M2688"/>
  <c r="M2687"/>
  <c r="M2686"/>
  <c r="M2675"/>
  <c r="M2674"/>
  <c r="M2673"/>
  <c r="M2672"/>
  <c r="M2671"/>
  <c r="M2670"/>
  <c r="M2669"/>
  <c r="M2668"/>
  <c r="M2667"/>
  <c r="M2666"/>
  <c r="M2665"/>
  <c r="M2664"/>
  <c r="M2663"/>
  <c r="M2662"/>
  <c r="M2661"/>
  <c r="M2553"/>
  <c r="M2552"/>
  <c r="M2428"/>
  <c r="M2427"/>
  <c r="M2426"/>
  <c r="M2425"/>
  <c r="M2424"/>
  <c r="M2423"/>
  <c r="M2413"/>
  <c r="M2412"/>
  <c r="M2411"/>
  <c r="M2383"/>
  <c r="M2382"/>
  <c r="M2381"/>
  <c r="M2380"/>
  <c r="M2379"/>
  <c r="M2378"/>
  <c r="M2377"/>
  <c r="M2376"/>
  <c r="M2365"/>
  <c r="M2364"/>
  <c r="M2363"/>
  <c r="M2362"/>
  <c r="M2361"/>
  <c r="M2360"/>
  <c r="M2359"/>
  <c r="M2358"/>
  <c r="M2357"/>
  <c r="M2356"/>
  <c r="M2355"/>
  <c r="M2354"/>
  <c r="M2353"/>
  <c r="M2352"/>
  <c r="M2351"/>
  <c r="M2350"/>
  <c r="M2349"/>
  <c r="M2348"/>
  <c r="M2347"/>
  <c r="M2346"/>
  <c r="M2345"/>
  <c r="M2344"/>
  <c r="M2343"/>
  <c r="M2342"/>
  <c r="M2341"/>
  <c r="M2340"/>
  <c r="M2339"/>
  <c r="M2338"/>
  <c r="M2337"/>
  <c r="M2336"/>
  <c r="M2335"/>
  <c r="M2334"/>
  <c r="M2333"/>
  <c r="M2332"/>
  <c r="M2331"/>
  <c r="M2330"/>
  <c r="M2329"/>
  <c r="M2328"/>
  <c r="M2327"/>
  <c r="M2326"/>
  <c r="M2325"/>
  <c r="M2324"/>
  <c r="M2323"/>
  <c r="M2322"/>
  <c r="M2321"/>
  <c r="M2320"/>
  <c r="M2319"/>
  <c r="M2318"/>
  <c r="M2317"/>
  <c r="M2316"/>
  <c r="M2315"/>
  <c r="M2314"/>
  <c r="M2313"/>
  <c r="M2312"/>
  <c r="M2311"/>
  <c r="M2310"/>
  <c r="M2309"/>
  <c r="M2308"/>
  <c r="M2307"/>
  <c r="M2306"/>
  <c r="M2305"/>
  <c r="M2304"/>
  <c r="M2303"/>
  <c r="M2302"/>
  <c r="M2301"/>
  <c r="M2300"/>
  <c r="M2299"/>
  <c r="M2298"/>
  <c r="M2297"/>
  <c r="M2296"/>
  <c r="M2295"/>
  <c r="M2294"/>
  <c r="M2293"/>
  <c r="M2292"/>
  <c r="M2291"/>
  <c r="M2290"/>
  <c r="M2289"/>
  <c r="M2288"/>
  <c r="M2287"/>
  <c r="M2286"/>
  <c r="M2285"/>
  <c r="M2284"/>
  <c r="M2283"/>
  <c r="M2282"/>
  <c r="M2281"/>
  <c r="M2280"/>
  <c r="M2279"/>
  <c r="J87" i="1"/>
  <c r="R10" i="2"/>
  <c r="R9" s="1"/>
  <c r="Q10"/>
  <c r="Q9" s="1"/>
  <c r="Q304" s="1"/>
  <c r="S57" i="3"/>
  <c r="R57"/>
  <c r="R56" s="1"/>
  <c r="R68" s="1"/>
  <c r="S56"/>
  <c r="S51"/>
  <c r="S50"/>
  <c r="R51"/>
  <c r="R50"/>
  <c r="S47"/>
  <c r="S46"/>
  <c r="R47"/>
  <c r="R46"/>
  <c r="S43"/>
  <c r="S42"/>
  <c r="R43"/>
  <c r="R42"/>
  <c r="S33"/>
  <c r="S32"/>
  <c r="R33"/>
  <c r="R32"/>
  <c r="S29"/>
  <c r="S28"/>
  <c r="R29"/>
  <c r="R28"/>
  <c r="S25"/>
  <c r="S24"/>
  <c r="R25"/>
  <c r="R24"/>
  <c r="S11"/>
  <c r="S10"/>
  <c r="R11"/>
  <c r="R10"/>
  <c r="S21"/>
  <c r="S20"/>
  <c r="R21"/>
  <c r="R20"/>
  <c r="R20" i="2"/>
  <c r="R19" s="1"/>
  <c r="Q20"/>
  <c r="Q19"/>
  <c r="S13" i="1"/>
  <c r="R13"/>
  <c r="R12" s="1"/>
  <c r="S12"/>
  <c r="S17"/>
  <c r="S16"/>
  <c r="R17"/>
  <c r="R16"/>
  <c r="R45" i="5"/>
  <c r="R44" s="1"/>
  <c r="R119" s="1"/>
  <c r="Q45"/>
  <c r="Q44"/>
  <c r="Q119" s="1"/>
  <c r="R335" i="6"/>
  <c r="Q335"/>
  <c r="M337"/>
  <c r="R1436"/>
  <c r="S275" i="4"/>
  <c r="R275"/>
  <c r="S271"/>
  <c r="R271"/>
  <c r="R422" i="6"/>
  <c r="S237" i="4"/>
  <c r="S236"/>
  <c r="R237"/>
  <c r="R236"/>
  <c r="R2077" i="6"/>
  <c r="Q2077"/>
  <c r="R2026"/>
  <c r="Q2026"/>
  <c r="R2023"/>
  <c r="Q2023"/>
  <c r="S477" i="4"/>
  <c r="R477"/>
  <c r="S105"/>
  <c r="R105"/>
  <c r="R1976" i="6"/>
  <c r="Q1976"/>
  <c r="Q1972" s="1"/>
  <c r="R2022"/>
  <c r="Q2022"/>
  <c r="I54"/>
  <c r="I9"/>
  <c r="K42"/>
  <c r="L42"/>
  <c r="J42"/>
  <c r="M43"/>
  <c r="M42"/>
  <c r="M30"/>
  <c r="L30"/>
  <c r="K30"/>
  <c r="J30"/>
  <c r="S490" i="4"/>
  <c r="R490"/>
  <c r="S486"/>
  <c r="R486"/>
  <c r="S482"/>
  <c r="R482"/>
  <c r="S472"/>
  <c r="R472"/>
  <c r="S465"/>
  <c r="R465"/>
  <c r="S460"/>
  <c r="R460"/>
  <c r="S455"/>
  <c r="R455"/>
  <c r="S440"/>
  <c r="R440"/>
  <c r="R434" s="1"/>
  <c r="R419" s="1"/>
  <c r="S435"/>
  <c r="R435"/>
  <c r="S429"/>
  <c r="S420"/>
  <c r="R429"/>
  <c r="R420"/>
  <c r="S414"/>
  <c r="R414"/>
  <c r="S408"/>
  <c r="R408"/>
  <c r="S401"/>
  <c r="R401"/>
  <c r="S397"/>
  <c r="R397"/>
  <c r="S392"/>
  <c r="R392"/>
  <c r="S384"/>
  <c r="R384"/>
  <c r="S375"/>
  <c r="R375"/>
  <c r="S365"/>
  <c r="R365"/>
  <c r="S360"/>
  <c r="R360"/>
  <c r="S349"/>
  <c r="R349"/>
  <c r="S343"/>
  <c r="R343"/>
  <c r="S322"/>
  <c r="R322"/>
  <c r="S317"/>
  <c r="R317"/>
  <c r="S313"/>
  <c r="R313"/>
  <c r="S309"/>
  <c r="R309"/>
  <c r="S303"/>
  <c r="R303"/>
  <c r="S291"/>
  <c r="R291"/>
  <c r="S287"/>
  <c r="R287"/>
  <c r="S283"/>
  <c r="R283"/>
  <c r="S279"/>
  <c r="R279"/>
  <c r="S266"/>
  <c r="R266"/>
  <c r="R254" s="1"/>
  <c r="S258"/>
  <c r="S254"/>
  <c r="R258"/>
  <c r="S251"/>
  <c r="R251"/>
  <c r="S248"/>
  <c r="R248"/>
  <c r="S245"/>
  <c r="S244" s="1"/>
  <c r="R245"/>
  <c r="R244" s="1"/>
  <c r="S241"/>
  <c r="S240" s="1"/>
  <c r="R241"/>
  <c r="R240" s="1"/>
  <c r="S232"/>
  <c r="R232"/>
  <c r="S229"/>
  <c r="R229"/>
  <c r="S225"/>
  <c r="S224" s="1"/>
  <c r="R225"/>
  <c r="R224"/>
  <c r="S220"/>
  <c r="R220"/>
  <c r="S217"/>
  <c r="R217"/>
  <c r="S213"/>
  <c r="R213"/>
  <c r="S210"/>
  <c r="R210"/>
  <c r="S207"/>
  <c r="R207"/>
  <c r="S204"/>
  <c r="R204"/>
  <c r="S201"/>
  <c r="R201"/>
  <c r="S198"/>
  <c r="R198"/>
  <c r="S195"/>
  <c r="R195"/>
  <c r="S190"/>
  <c r="R190"/>
  <c r="S187"/>
  <c r="R187"/>
  <c r="R186" s="1"/>
  <c r="S180"/>
  <c r="R180"/>
  <c r="S176"/>
  <c r="R176"/>
  <c r="S167"/>
  <c r="R167"/>
  <c r="S164"/>
  <c r="R164"/>
  <c r="S161"/>
  <c r="R161"/>
  <c r="S158"/>
  <c r="R158"/>
  <c r="R157" s="1"/>
  <c r="S154"/>
  <c r="R154"/>
  <c r="S151"/>
  <c r="R151"/>
  <c r="S149"/>
  <c r="R149"/>
  <c r="R148" s="1"/>
  <c r="S145"/>
  <c r="R145"/>
  <c r="R137" s="1"/>
  <c r="R138"/>
  <c r="S134"/>
  <c r="R134"/>
  <c r="S129"/>
  <c r="R129"/>
  <c r="S123"/>
  <c r="R123"/>
  <c r="S119"/>
  <c r="R119"/>
  <c r="S116"/>
  <c r="R116"/>
  <c r="S114"/>
  <c r="S113" s="1"/>
  <c r="R114"/>
  <c r="S109"/>
  <c r="R109"/>
  <c r="S100"/>
  <c r="R100"/>
  <c r="S96"/>
  <c r="R96"/>
  <c r="S92"/>
  <c r="S91" s="1"/>
  <c r="R92"/>
  <c r="R91" s="1"/>
  <c r="R56" s="1"/>
  <c r="S66"/>
  <c r="R66"/>
  <c r="S63"/>
  <c r="R63"/>
  <c r="S58"/>
  <c r="S57" s="1"/>
  <c r="S56" s="1"/>
  <c r="R58"/>
  <c r="S40"/>
  <c r="R40"/>
  <c r="S39"/>
  <c r="R39"/>
  <c r="S35"/>
  <c r="S34" s="1"/>
  <c r="R35"/>
  <c r="R34" s="1"/>
  <c r="S31"/>
  <c r="R31"/>
  <c r="S27"/>
  <c r="R27"/>
  <c r="S23"/>
  <c r="S22" s="1"/>
  <c r="R23"/>
  <c r="R22" s="1"/>
  <c r="S15"/>
  <c r="S14" s="1"/>
  <c r="R15"/>
  <c r="R14" s="1"/>
  <c r="S10"/>
  <c r="S9" s="1"/>
  <c r="R10"/>
  <c r="R9" s="1"/>
  <c r="Q2108" i="6"/>
  <c r="R417"/>
  <c r="Q417"/>
  <c r="R2875"/>
  <c r="Q2875"/>
  <c r="R2870"/>
  <c r="Q2870"/>
  <c r="R2866"/>
  <c r="Q2866"/>
  <c r="Q2803" s="1"/>
  <c r="Q2849"/>
  <c r="R2836"/>
  <c r="Q2836"/>
  <c r="R2813"/>
  <c r="Q2813"/>
  <c r="R2804"/>
  <c r="Q2804"/>
  <c r="R2096"/>
  <c r="R2095" s="1"/>
  <c r="Q2096"/>
  <c r="Q2095" s="1"/>
  <c r="R2092"/>
  <c r="R2087"/>
  <c r="Q2087"/>
  <c r="Q2083"/>
  <c r="R2071"/>
  <c r="Q2071"/>
  <c r="R2068"/>
  <c r="Q2068"/>
  <c r="R2064"/>
  <c r="Q2064"/>
  <c r="R2061"/>
  <c r="R2060" s="1"/>
  <c r="Q2061"/>
  <c r="R2057"/>
  <c r="R2056" s="1"/>
  <c r="Q2057"/>
  <c r="Q2056" s="1"/>
  <c r="R2052"/>
  <c r="Q2052"/>
  <c r="Q2049"/>
  <c r="Q2047"/>
  <c r="R2043"/>
  <c r="Q2043"/>
  <c r="R2040"/>
  <c r="Q2040"/>
  <c r="R2036"/>
  <c r="Q2036"/>
  <c r="R2033"/>
  <c r="Q2033"/>
  <c r="R2031"/>
  <c r="Q2031"/>
  <c r="R2015"/>
  <c r="Q2015"/>
  <c r="R2012"/>
  <c r="Q2012"/>
  <c r="R2007"/>
  <c r="Q2007"/>
  <c r="R2004"/>
  <c r="R2003" s="1"/>
  <c r="Q2004"/>
  <c r="R2000"/>
  <c r="Q2000"/>
  <c r="Q1994"/>
  <c r="R1991"/>
  <c r="Q1991"/>
  <c r="R1984"/>
  <c r="Q1984"/>
  <c r="R1980"/>
  <c r="R1979"/>
  <c r="Q1980"/>
  <c r="Q1979"/>
  <c r="R1973"/>
  <c r="R1972"/>
  <c r="Q1973"/>
  <c r="R1969"/>
  <c r="Q1969"/>
  <c r="R1966"/>
  <c r="Q1966"/>
  <c r="R1945"/>
  <c r="Q1945"/>
  <c r="R1940"/>
  <c r="Q1940"/>
  <c r="R1937"/>
  <c r="Q1937"/>
  <c r="R1931"/>
  <c r="Q1931"/>
  <c r="R1928"/>
  <c r="Q1928"/>
  <c r="R1918"/>
  <c r="Q1918"/>
  <c r="Q1917" s="1"/>
  <c r="R1884"/>
  <c r="R1883"/>
  <c r="R1873"/>
  <c r="Q1873"/>
  <c r="R1842"/>
  <c r="R1714"/>
  <c r="R1712" s="1"/>
  <c r="Q1842"/>
  <c r="Q1714"/>
  <c r="R1709"/>
  <c r="Q1709"/>
  <c r="R1706"/>
  <c r="Q1706"/>
  <c r="Q1705" s="1"/>
  <c r="R1690"/>
  <c r="R1689"/>
  <c r="Q1690"/>
  <c r="Q1689"/>
  <c r="R1685"/>
  <c r="Q1685"/>
  <c r="R1682"/>
  <c r="Q1682"/>
  <c r="R1575"/>
  <c r="Q1575"/>
  <c r="R1570"/>
  <c r="Q1570"/>
  <c r="R1567"/>
  <c r="Q1567"/>
  <c r="Q1566" s="1"/>
  <c r="Q1557"/>
  <c r="Q1556"/>
  <c r="Q1547"/>
  <c r="Q1546"/>
  <c r="R1520"/>
  <c r="Q1520"/>
  <c r="R2881"/>
  <c r="Q2881"/>
  <c r="R411"/>
  <c r="Q411"/>
  <c r="R388"/>
  <c r="R385"/>
  <c r="Q385"/>
  <c r="R383"/>
  <c r="Q383"/>
  <c r="R379"/>
  <c r="Q379"/>
  <c r="Q372"/>
  <c r="R365"/>
  <c r="R364"/>
  <c r="Q365"/>
  <c r="Q364"/>
  <c r="R358"/>
  <c r="Q358"/>
  <c r="R355"/>
  <c r="Q355"/>
  <c r="R352"/>
  <c r="Q352"/>
  <c r="Q342"/>
  <c r="R330"/>
  <c r="Q330"/>
  <c r="Q191"/>
  <c r="R121"/>
  <c r="Q121"/>
  <c r="R117"/>
  <c r="Q117"/>
  <c r="R113"/>
  <c r="R108"/>
  <c r="R107" s="1"/>
  <c r="Q108"/>
  <c r="Q107" s="1"/>
  <c r="R104"/>
  <c r="Q104"/>
  <c r="R101"/>
  <c r="Q101"/>
  <c r="R89"/>
  <c r="Q89"/>
  <c r="R63"/>
  <c r="Q63"/>
  <c r="R60"/>
  <c r="Q60"/>
  <c r="M2606"/>
  <c r="K2605"/>
  <c r="M2605"/>
  <c r="X2604"/>
  <c r="M2604"/>
  <c r="X2603"/>
  <c r="M2603"/>
  <c r="Y2603" s="1"/>
  <c r="X2602"/>
  <c r="M2602"/>
  <c r="Y2602" s="1"/>
  <c r="X2601"/>
  <c r="M2601"/>
  <c r="Y2601" s="1"/>
  <c r="X2884"/>
  <c r="M2884"/>
  <c r="Y2884" s="1"/>
  <c r="X2883"/>
  <c r="M2883"/>
  <c r="Y2883" s="1"/>
  <c r="X2472"/>
  <c r="M2472"/>
  <c r="R26" i="4"/>
  <c r="R113"/>
  <c r="S26"/>
  <c r="R175"/>
  <c r="R194"/>
  <c r="S216"/>
  <c r="S122"/>
  <c r="R216"/>
  <c r="R57"/>
  <c r="R95"/>
  <c r="S175"/>
  <c r="S186"/>
  <c r="S95"/>
  <c r="S148"/>
  <c r="S194"/>
  <c r="R122"/>
  <c r="S434"/>
  <c r="S419"/>
  <c r="R1917" i="6"/>
  <c r="R2030"/>
  <c r="Q2003"/>
  <c r="R2039"/>
  <c r="Q1712"/>
  <c r="R1944"/>
  <c r="Q2039"/>
  <c r="Q1944"/>
  <c r="R1705"/>
  <c r="Q2060"/>
  <c r="Q2030"/>
  <c r="R1566"/>
  <c r="R2086"/>
  <c r="Q2046"/>
  <c r="Q341"/>
  <c r="Y2472"/>
  <c r="Y2604"/>
  <c r="X2605"/>
  <c r="X2749"/>
  <c r="Y2749" s="1"/>
  <c r="X2809"/>
  <c r="Y2809" s="1"/>
  <c r="M2809"/>
  <c r="X2808"/>
  <c r="M2808"/>
  <c r="X2807"/>
  <c r="Y2807" s="1"/>
  <c r="M2807"/>
  <c r="X2806"/>
  <c r="M2806"/>
  <c r="Y2806"/>
  <c r="Y2808"/>
  <c r="N35" i="1"/>
  <c r="D2895" i="6"/>
  <c r="M2801"/>
  <c r="K2800"/>
  <c r="X2800"/>
  <c r="X2799"/>
  <c r="M2799"/>
  <c r="X2776"/>
  <c r="R2776"/>
  <c r="Q2776"/>
  <c r="M2776"/>
  <c r="X2758"/>
  <c r="R2758"/>
  <c r="Q2758"/>
  <c r="M2758"/>
  <c r="Y2758" s="1"/>
  <c r="X2756"/>
  <c r="M2756"/>
  <c r="X2755"/>
  <c r="M2755"/>
  <c r="X2754"/>
  <c r="M2754"/>
  <c r="Y2754" s="1"/>
  <c r="R2753"/>
  <c r="Q2753"/>
  <c r="K2753"/>
  <c r="X2753"/>
  <c r="X2752"/>
  <c r="M2752"/>
  <c r="Y2752" s="1"/>
  <c r="X2747"/>
  <c r="M2747"/>
  <c r="X2746"/>
  <c r="M2746"/>
  <c r="Y2746" s="1"/>
  <c r="X2723"/>
  <c r="R2723"/>
  <c r="Q2723"/>
  <c r="M2723"/>
  <c r="Y2723" s="1"/>
  <c r="X2720"/>
  <c r="M2720"/>
  <c r="X2716"/>
  <c r="R2716"/>
  <c r="Q2716"/>
  <c r="M2716"/>
  <c r="X2715"/>
  <c r="M2715"/>
  <c r="Y2715" s="1"/>
  <c r="X2714"/>
  <c r="M2714"/>
  <c r="Y2714" s="1"/>
  <c r="X2713"/>
  <c r="M2713"/>
  <c r="X2710"/>
  <c r="X2709"/>
  <c r="Y2709" s="1"/>
  <c r="M2709"/>
  <c r="X2708"/>
  <c r="Y2708" s="1"/>
  <c r="M2708"/>
  <c r="X2707"/>
  <c r="M2707"/>
  <c r="X2706"/>
  <c r="Y2706" s="1"/>
  <c r="M2706"/>
  <c r="X2705"/>
  <c r="M2705"/>
  <c r="X2704"/>
  <c r="Y2704" s="1"/>
  <c r="M2704"/>
  <c r="X2700"/>
  <c r="Y2700" s="1"/>
  <c r="R2700"/>
  <c r="Q2700"/>
  <c r="M2700"/>
  <c r="X2699"/>
  <c r="M2699"/>
  <c r="X2696"/>
  <c r="Y2696" s="1"/>
  <c r="M2696"/>
  <c r="X2695"/>
  <c r="M2695"/>
  <c r="X2690"/>
  <c r="Y2690" s="1"/>
  <c r="R2690"/>
  <c r="Q2690"/>
  <c r="M2690"/>
  <c r="X2685"/>
  <c r="Y2685" s="1"/>
  <c r="M2685"/>
  <c r="X2683"/>
  <c r="M2683"/>
  <c r="X2682"/>
  <c r="Y2682" s="1"/>
  <c r="M2682"/>
  <c r="X2681"/>
  <c r="M2681"/>
  <c r="X2680"/>
  <c r="Y2680" s="1"/>
  <c r="M2680"/>
  <c r="X2679"/>
  <c r="M2679"/>
  <c r="X2678"/>
  <c r="Y2678" s="1"/>
  <c r="M2678"/>
  <c r="X2677"/>
  <c r="M2677"/>
  <c r="X2660"/>
  <c r="Y2660" s="1"/>
  <c r="M2660"/>
  <c r="X2655"/>
  <c r="R2655"/>
  <c r="Q2655"/>
  <c r="M2655"/>
  <c r="X2654"/>
  <c r="M2654"/>
  <c r="X2653"/>
  <c r="M2653"/>
  <c r="X2652"/>
  <c r="Y2652" s="1"/>
  <c r="M2652"/>
  <c r="X2651"/>
  <c r="M2651"/>
  <c r="X2650"/>
  <c r="Y2650" s="1"/>
  <c r="M2650"/>
  <c r="X2649"/>
  <c r="M2649"/>
  <c r="X2626"/>
  <c r="Y2626" s="1"/>
  <c r="R2626"/>
  <c r="Q2626"/>
  <c r="M2626"/>
  <c r="X2625"/>
  <c r="Y2625" s="1"/>
  <c r="M2625"/>
  <c r="X2624"/>
  <c r="Y2624" s="1"/>
  <c r="M2624"/>
  <c r="X2623"/>
  <c r="M2623"/>
  <c r="X2622"/>
  <c r="M2622"/>
  <c r="X2614"/>
  <c r="M2614"/>
  <c r="X2613"/>
  <c r="Y2613" s="1"/>
  <c r="M2613"/>
  <c r="X2608"/>
  <c r="Y2608" s="1"/>
  <c r="R2608"/>
  <c r="Q2608"/>
  <c r="M2608"/>
  <c r="X2607"/>
  <c r="Y2607" s="1"/>
  <c r="M2607"/>
  <c r="X2600"/>
  <c r="M2600"/>
  <c r="X2599"/>
  <c r="M2599"/>
  <c r="X2598"/>
  <c r="Y2598" s="1"/>
  <c r="M2598"/>
  <c r="X2597"/>
  <c r="Y2597" s="1"/>
  <c r="M2597"/>
  <c r="X2596"/>
  <c r="M2596"/>
  <c r="X2595"/>
  <c r="M2595"/>
  <c r="X2594"/>
  <c r="Y2594" s="1"/>
  <c r="M2594"/>
  <c r="X2593"/>
  <c r="Y2593" s="1"/>
  <c r="M2593"/>
  <c r="X2592"/>
  <c r="M2592"/>
  <c r="X2591"/>
  <c r="M2591"/>
  <c r="X2590"/>
  <c r="Y2590" s="1"/>
  <c r="M2590"/>
  <c r="X2589"/>
  <c r="Y2589" s="1"/>
  <c r="M2589"/>
  <c r="X2588"/>
  <c r="M2588"/>
  <c r="X2585"/>
  <c r="Y2585" s="1"/>
  <c r="M2585"/>
  <c r="X2583"/>
  <c r="M2583"/>
  <c r="X2582"/>
  <c r="M2582"/>
  <c r="X2581"/>
  <c r="M2581"/>
  <c r="X2580"/>
  <c r="Y2580" s="1"/>
  <c r="M2580"/>
  <c r="X2579"/>
  <c r="Y2579" s="1"/>
  <c r="M2579"/>
  <c r="X2578"/>
  <c r="M2578"/>
  <c r="X2577"/>
  <c r="M2577"/>
  <c r="X2574"/>
  <c r="Y2574" s="1"/>
  <c r="M2574"/>
  <c r="X2573"/>
  <c r="M2573"/>
  <c r="X2566"/>
  <c r="Y2566" s="1"/>
  <c r="R2566"/>
  <c r="Q2566"/>
  <c r="M2566"/>
  <c r="X2565"/>
  <c r="Y2565" s="1"/>
  <c r="M2565"/>
  <c r="X2560"/>
  <c r="Y2560" s="1"/>
  <c r="R2560"/>
  <c r="Q2560"/>
  <c r="M2560"/>
  <c r="X2559"/>
  <c r="M2559"/>
  <c r="X2558"/>
  <c r="Y2558" s="1"/>
  <c r="M2558"/>
  <c r="X2557"/>
  <c r="M2557"/>
  <c r="X2556"/>
  <c r="Y2556" s="1"/>
  <c r="M2556"/>
  <c r="X2555"/>
  <c r="M2555"/>
  <c r="X2551"/>
  <c r="X2545"/>
  <c r="R2545"/>
  <c r="Q2545"/>
  <c r="M2545"/>
  <c r="X2541"/>
  <c r="R2541"/>
  <c r="Q2541"/>
  <c r="M2541"/>
  <c r="X2540"/>
  <c r="M2540"/>
  <c r="Y2540" s="1"/>
  <c r="X2539"/>
  <c r="M2539"/>
  <c r="Y2539" s="1"/>
  <c r="X2538"/>
  <c r="M2538"/>
  <c r="X2537"/>
  <c r="M2537"/>
  <c r="Y2537" s="1"/>
  <c r="X2536"/>
  <c r="M2536"/>
  <c r="Y2536" s="1"/>
  <c r="X2535"/>
  <c r="M2535"/>
  <c r="Y2535" s="1"/>
  <c r="X2534"/>
  <c r="M2534"/>
  <c r="X2533"/>
  <c r="M2533"/>
  <c r="Y2533" s="1"/>
  <c r="X2532"/>
  <c r="M2532"/>
  <c r="Y2532" s="1"/>
  <c r="X2531"/>
  <c r="M2531"/>
  <c r="Y2531" s="1"/>
  <c r="X2528"/>
  <c r="M2528"/>
  <c r="X2526"/>
  <c r="M2526"/>
  <c r="Y2526" s="1"/>
  <c r="X2525"/>
  <c r="M2525"/>
  <c r="Y2525" s="1"/>
  <c r="X2524"/>
  <c r="M2524"/>
  <c r="Y2524" s="1"/>
  <c r="X2523"/>
  <c r="M2523"/>
  <c r="X2522"/>
  <c r="M2522"/>
  <c r="Y2522" s="1"/>
  <c r="X2521"/>
  <c r="M2521"/>
  <c r="Y2521" s="1"/>
  <c r="X2516"/>
  <c r="M2516"/>
  <c r="Y2516" s="1"/>
  <c r="X2515"/>
  <c r="M2515"/>
  <c r="X2514"/>
  <c r="M2514"/>
  <c r="Y2514" s="1"/>
  <c r="X2513"/>
  <c r="M2513"/>
  <c r="Y2513" s="1"/>
  <c r="X2509"/>
  <c r="R2509"/>
  <c r="Q2509"/>
  <c r="M2509"/>
  <c r="Y2509" s="1"/>
  <c r="X2508"/>
  <c r="M2508"/>
  <c r="Y2508" s="1"/>
  <c r="X2504"/>
  <c r="R2504"/>
  <c r="Q2504"/>
  <c r="M2504"/>
  <c r="Y2504" s="1"/>
  <c r="X2503"/>
  <c r="M2503"/>
  <c r="X2502"/>
  <c r="M2502"/>
  <c r="Y2502" s="1"/>
  <c r="X2501"/>
  <c r="M2501"/>
  <c r="Y2501" s="1"/>
  <c r="X2497"/>
  <c r="M2497"/>
  <c r="Y2497" s="1"/>
  <c r="X2493"/>
  <c r="R2493"/>
  <c r="Q2493"/>
  <c r="M2493"/>
  <c r="Y2493" s="1"/>
  <c r="X2492"/>
  <c r="M2492"/>
  <c r="X2491"/>
  <c r="M2491"/>
  <c r="Y2491" s="1"/>
  <c r="X2490"/>
  <c r="M2490"/>
  <c r="Y2490" s="1"/>
  <c r="X2489"/>
  <c r="M2489"/>
  <c r="Y2489" s="1"/>
  <c r="X2488"/>
  <c r="M2488"/>
  <c r="X2487"/>
  <c r="M2487"/>
  <c r="Y2487" s="1"/>
  <c r="X2486"/>
  <c r="M2486"/>
  <c r="Y2486" s="1"/>
  <c r="X2485"/>
  <c r="M2485"/>
  <c r="Y2485" s="1"/>
  <c r="X2484"/>
  <c r="M2484"/>
  <c r="X2483"/>
  <c r="M2483"/>
  <c r="Y2483" s="1"/>
  <c r="X2479"/>
  <c r="R2479"/>
  <c r="Q2479"/>
  <c r="M2479"/>
  <c r="Y2479" s="1"/>
  <c r="X2478"/>
  <c r="M2478"/>
  <c r="Y2478" s="1"/>
  <c r="X2474"/>
  <c r="M2474"/>
  <c r="X2470"/>
  <c r="M2470"/>
  <c r="Y2470" s="1"/>
  <c r="X2466"/>
  <c r="R2466"/>
  <c r="Q2466"/>
  <c r="M2466"/>
  <c r="Y2466" s="1"/>
  <c r="X2461"/>
  <c r="M2461"/>
  <c r="Y2461" s="1"/>
  <c r="X2460"/>
  <c r="M2460"/>
  <c r="X2454"/>
  <c r="R2454"/>
  <c r="Q2454"/>
  <c r="M2454"/>
  <c r="X2453"/>
  <c r="M2453"/>
  <c r="Y2453" s="1"/>
  <c r="X2449"/>
  <c r="R2449"/>
  <c r="Q2449"/>
  <c r="M2449"/>
  <c r="Y2449" s="1"/>
  <c r="X2448"/>
  <c r="M2448"/>
  <c r="Y2448" s="1"/>
  <c r="X2447"/>
  <c r="M2447"/>
  <c r="X2446"/>
  <c r="M2446"/>
  <c r="Y2446" s="1"/>
  <c r="X2445"/>
  <c r="M2445"/>
  <c r="Y2445" s="1"/>
  <c r="X2435"/>
  <c r="R2435"/>
  <c r="Q2435"/>
  <c r="M2435"/>
  <c r="Y2435" s="1"/>
  <c r="X2430"/>
  <c r="M2430"/>
  <c r="X2422"/>
  <c r="X2420"/>
  <c r="Y2420" s="1"/>
  <c r="M2420"/>
  <c r="X2419"/>
  <c r="Y2419" s="1"/>
  <c r="M2419"/>
  <c r="X2418"/>
  <c r="M2418"/>
  <c r="X2417"/>
  <c r="Y2417" s="1"/>
  <c r="M2417"/>
  <c r="X2416"/>
  <c r="Y2416" s="1"/>
  <c r="M2416"/>
  <c r="X2415"/>
  <c r="Y2415" s="1"/>
  <c r="M2415"/>
  <c r="X2414"/>
  <c r="M2414"/>
  <c r="X2410"/>
  <c r="Y2410" s="1"/>
  <c r="M2410"/>
  <c r="X2408"/>
  <c r="Y2408" s="1"/>
  <c r="M2408"/>
  <c r="X2407"/>
  <c r="Y2407" s="1"/>
  <c r="M2407"/>
  <c r="X2406"/>
  <c r="M2406"/>
  <c r="X2405"/>
  <c r="Y2405" s="1"/>
  <c r="M2405"/>
  <c r="X2404"/>
  <c r="Y2404" s="1"/>
  <c r="M2404"/>
  <c r="X2401"/>
  <c r="Y2401" s="1"/>
  <c r="M2401"/>
  <c r="X2400"/>
  <c r="M2400"/>
  <c r="X2399"/>
  <c r="Y2399" s="1"/>
  <c r="M2399"/>
  <c r="X2398"/>
  <c r="Y2398" s="1"/>
  <c r="M2398"/>
  <c r="X2397"/>
  <c r="Y2397" s="1"/>
  <c r="M2397"/>
  <c r="X2396"/>
  <c r="M2396"/>
  <c r="X2395"/>
  <c r="Y2395" s="1"/>
  <c r="M2395"/>
  <c r="X2394"/>
  <c r="Y2394" s="1"/>
  <c r="M2394"/>
  <c r="X2393"/>
  <c r="Y2393" s="1"/>
  <c r="M2393"/>
  <c r="X2392"/>
  <c r="M2392"/>
  <c r="X2387"/>
  <c r="Y2387" s="1"/>
  <c r="R2387"/>
  <c r="Q2387"/>
  <c r="M2387"/>
  <c r="X2386"/>
  <c r="Y2386" s="1"/>
  <c r="M2386"/>
  <c r="X2385"/>
  <c r="Y2385" s="1"/>
  <c r="M2385"/>
  <c r="X2384"/>
  <c r="M2384"/>
  <c r="X2375"/>
  <c r="Y2375" s="1"/>
  <c r="X2374"/>
  <c r="M2374"/>
  <c r="Y2374" s="1"/>
  <c r="X2373"/>
  <c r="M2373"/>
  <c r="Y2373" s="1"/>
  <c r="X2372"/>
  <c r="M2372"/>
  <c r="X2371"/>
  <c r="M2371"/>
  <c r="Y2371" s="1"/>
  <c r="X2368"/>
  <c r="X2366"/>
  <c r="Y2366" s="1"/>
  <c r="M2366"/>
  <c r="X2278"/>
  <c r="X2234"/>
  <c r="R2234"/>
  <c r="Q2234"/>
  <c r="M2234"/>
  <c r="Y2234" s="1"/>
  <c r="X2233"/>
  <c r="M2233"/>
  <c r="Y2233" s="1"/>
  <c r="X2232"/>
  <c r="M2232"/>
  <c r="Y2232" s="1"/>
  <c r="X2227"/>
  <c r="R2227"/>
  <c r="Q2227"/>
  <c r="M2227"/>
  <c r="X2226"/>
  <c r="M2226"/>
  <c r="Y2226" s="1"/>
  <c r="X2225"/>
  <c r="M2225"/>
  <c r="Y2225" s="1"/>
  <c r="X2224"/>
  <c r="M2224"/>
  <c r="Y2224" s="1"/>
  <c r="X2223"/>
  <c r="M2223"/>
  <c r="X2222"/>
  <c r="M2222"/>
  <c r="Y2222" s="1"/>
  <c r="X2221"/>
  <c r="M2221"/>
  <c r="Y2221" s="1"/>
  <c r="X2220"/>
  <c r="M2220"/>
  <c r="Y2220" s="1"/>
  <c r="X2219"/>
  <c r="M2219"/>
  <c r="X2218"/>
  <c r="M2218"/>
  <c r="Y2218" s="1"/>
  <c r="K2217"/>
  <c r="X2217"/>
  <c r="Y2217" s="1"/>
  <c r="X2216"/>
  <c r="M2216"/>
  <c r="Y2216" s="1"/>
  <c r="X2215"/>
  <c r="M2215"/>
  <c r="Y2215" s="1"/>
  <c r="X2214"/>
  <c r="M2214"/>
  <c r="Y2214" s="1"/>
  <c r="X2210"/>
  <c r="R2210"/>
  <c r="Q2210"/>
  <c r="M2210"/>
  <c r="X2209"/>
  <c r="M2209"/>
  <c r="Y2209" s="1"/>
  <c r="X2208"/>
  <c r="M2208"/>
  <c r="X2207"/>
  <c r="M2207"/>
  <c r="Y2207" s="1"/>
  <c r="X2206"/>
  <c r="M2206"/>
  <c r="Y2206" s="1"/>
  <c r="X2205"/>
  <c r="M2205"/>
  <c r="Y2205" s="1"/>
  <c r="X2204"/>
  <c r="M2204"/>
  <c r="X2203"/>
  <c r="M2203"/>
  <c r="Y2203" s="1"/>
  <c r="X2202"/>
  <c r="M2202"/>
  <c r="Y2202" s="1"/>
  <c r="X2201"/>
  <c r="M2201"/>
  <c r="Y2201" s="1"/>
  <c r="X2200"/>
  <c r="M2200"/>
  <c r="X2199"/>
  <c r="M2199"/>
  <c r="Y2199" s="1"/>
  <c r="X2198"/>
  <c r="M2198"/>
  <c r="Y2198" s="1"/>
  <c r="X2197"/>
  <c r="M2197"/>
  <c r="Y2197" s="1"/>
  <c r="X2196"/>
  <c r="M2196"/>
  <c r="X2195"/>
  <c r="M2195"/>
  <c r="Y2195" s="1"/>
  <c r="X2194"/>
  <c r="M2194"/>
  <c r="Y2194" s="1"/>
  <c r="X2193"/>
  <c r="M2193"/>
  <c r="Y2193" s="1"/>
  <c r="X2192"/>
  <c r="M2192"/>
  <c r="X2191"/>
  <c r="M2191"/>
  <c r="Y2191" s="1"/>
  <c r="X2190"/>
  <c r="M2190"/>
  <c r="Y2190" s="1"/>
  <c r="X2189"/>
  <c r="M2189"/>
  <c r="Y2189" s="1"/>
  <c r="X2188"/>
  <c r="M2188"/>
  <c r="X2187"/>
  <c r="M2187"/>
  <c r="Y2187" s="1"/>
  <c r="X2186"/>
  <c r="M2186"/>
  <c r="Y2186" s="1"/>
  <c r="X2182"/>
  <c r="R2182"/>
  <c r="Q2182"/>
  <c r="M2182"/>
  <c r="Y2182" s="1"/>
  <c r="X2181"/>
  <c r="M2181"/>
  <c r="Y2181" s="1"/>
  <c r="R2180"/>
  <c r="Q2180"/>
  <c r="K2180"/>
  <c r="X2180"/>
  <c r="Y2180" s="1"/>
  <c r="X2179"/>
  <c r="M2179"/>
  <c r="Y2179" s="1"/>
  <c r="X2178"/>
  <c r="M2178"/>
  <c r="Y2178" s="1"/>
  <c r="X2177"/>
  <c r="M2177"/>
  <c r="X2176"/>
  <c r="M2176"/>
  <c r="Y2176" s="1"/>
  <c r="X2171"/>
  <c r="R2171"/>
  <c r="Q2171"/>
  <c r="M2171"/>
  <c r="Y2171" s="1"/>
  <c r="X2166"/>
  <c r="R2166"/>
  <c r="Q2166"/>
  <c r="M2166"/>
  <c r="Y2166" s="1"/>
  <c r="X2165"/>
  <c r="M2165"/>
  <c r="X2164"/>
  <c r="M2164"/>
  <c r="Y2164" s="1"/>
  <c r="X2163"/>
  <c r="M2163"/>
  <c r="Y2163" s="1"/>
  <c r="X2162"/>
  <c r="M2162"/>
  <c r="Y2162" s="1"/>
  <c r="X2161"/>
  <c r="M2161"/>
  <c r="X2160"/>
  <c r="M2160"/>
  <c r="Y2160" s="1"/>
  <c r="X2159"/>
  <c r="M2159"/>
  <c r="Y2159" s="1"/>
  <c r="X2158"/>
  <c r="M2158"/>
  <c r="Y2158" s="1"/>
  <c r="X2157"/>
  <c r="M2157"/>
  <c r="X2156"/>
  <c r="M2156"/>
  <c r="Y2156" s="1"/>
  <c r="X2155"/>
  <c r="M2155"/>
  <c r="Y2155" s="1"/>
  <c r="X2154"/>
  <c r="M2154"/>
  <c r="Y2154" s="1"/>
  <c r="X2153"/>
  <c r="M2153"/>
  <c r="X2152"/>
  <c r="M2152"/>
  <c r="Y2152" s="1"/>
  <c r="X2144"/>
  <c r="R2144"/>
  <c r="Q2144"/>
  <c r="M2144"/>
  <c r="Y2144" s="1"/>
  <c r="X2143"/>
  <c r="M2143"/>
  <c r="Y2143" s="1"/>
  <c r="X2142"/>
  <c r="M2142"/>
  <c r="X2141"/>
  <c r="M2141"/>
  <c r="Y2141" s="1"/>
  <c r="X2140"/>
  <c r="M2140"/>
  <c r="Y2140" s="1"/>
  <c r="X2139"/>
  <c r="M2139"/>
  <c r="Y2139" s="1"/>
  <c r="X2138"/>
  <c r="M2138"/>
  <c r="X2137"/>
  <c r="M2137"/>
  <c r="Y2137" s="1"/>
  <c r="X2136"/>
  <c r="M2136"/>
  <c r="Y2136" s="1"/>
  <c r="X2135"/>
  <c r="M2135"/>
  <c r="Y2135" s="1"/>
  <c r="X2108"/>
  <c r="R2108"/>
  <c r="M2108"/>
  <c r="Q2107"/>
  <c r="R2576"/>
  <c r="Y2474"/>
  <c r="Y2484"/>
  <c r="Y2488"/>
  <c r="Y2492"/>
  <c r="Y2503"/>
  <c r="Y2515"/>
  <c r="Y2523"/>
  <c r="Y2528"/>
  <c r="Y2534"/>
  <c r="Y2538"/>
  <c r="Y2622"/>
  <c r="Y2651"/>
  <c r="Y2653"/>
  <c r="Y2677"/>
  <c r="Y2679"/>
  <c r="Y2681"/>
  <c r="Y2683"/>
  <c r="Y2695"/>
  <c r="Y2699"/>
  <c r="Y2705"/>
  <c r="Y2707"/>
  <c r="Y2776"/>
  <c r="Y2654"/>
  <c r="Y2551"/>
  <c r="Y2555"/>
  <c r="Y2755"/>
  <c r="Y2747"/>
  <c r="Y2599"/>
  <c r="Y2756"/>
  <c r="Y2799"/>
  <c r="M2753"/>
  <c r="Y2753"/>
  <c r="M2800"/>
  <c r="Y2800"/>
  <c r="Y2188"/>
  <c r="Y2192"/>
  <c r="Y2196"/>
  <c r="Y2200"/>
  <c r="Y2204"/>
  <c r="Y2208"/>
  <c r="Y2713"/>
  <c r="Y2720"/>
  <c r="Y2655"/>
  <c r="Y2710"/>
  <c r="Y2716"/>
  <c r="Y2454"/>
  <c r="Y2578"/>
  <c r="Y2582"/>
  <c r="Y2588"/>
  <c r="Y2592"/>
  <c r="Y2596"/>
  <c r="Y2600"/>
  <c r="Y2623"/>
  <c r="Y2649"/>
  <c r="Y2541"/>
  <c r="Y2557"/>
  <c r="Y2559"/>
  <c r="Y2573"/>
  <c r="Y2577"/>
  <c r="Y2581"/>
  <c r="Y2591"/>
  <c r="Y2595"/>
  <c r="Y2614"/>
  <c r="Y2545"/>
  <c r="Y2583"/>
  <c r="Y2210"/>
  <c r="Y2108"/>
  <c r="Y2138"/>
  <c r="Y2142"/>
  <c r="Y2153"/>
  <c r="Y2157"/>
  <c r="Y2161"/>
  <c r="Y2165"/>
  <c r="Y2177"/>
  <c r="Y2219"/>
  <c r="Y2223"/>
  <c r="Y2227"/>
  <c r="Y2278"/>
  <c r="Y2368"/>
  <c r="Y2372"/>
  <c r="Y2384"/>
  <c r="Y2392"/>
  <c r="Y2396"/>
  <c r="Y2400"/>
  <c r="Y2406"/>
  <c r="Y2414"/>
  <c r="Y2418"/>
  <c r="Y2430"/>
  <c r="Y2447"/>
  <c r="Y2460"/>
  <c r="M2180"/>
  <c r="M2217"/>
  <c r="L1520"/>
  <c r="K1520"/>
  <c r="M1544"/>
  <c r="M1540"/>
  <c r="K1547"/>
  <c r="J1547"/>
  <c r="M1536"/>
  <c r="X1511"/>
  <c r="M1511"/>
  <c r="L1510"/>
  <c r="K1510"/>
  <c r="J1510"/>
  <c r="X1510" s="1"/>
  <c r="K117"/>
  <c r="L117"/>
  <c r="J117"/>
  <c r="L429" i="4"/>
  <c r="M429"/>
  <c r="N432"/>
  <c r="N54" i="1"/>
  <c r="N72"/>
  <c r="N69"/>
  <c r="N66"/>
  <c r="N63"/>
  <c r="N60"/>
  <c r="N57"/>
  <c r="N43"/>
  <c r="N42" s="1"/>
  <c r="N26" s="1"/>
  <c r="N39"/>
  <c r="N27"/>
  <c r="M16" i="2"/>
  <c r="M17"/>
  <c r="K14"/>
  <c r="K13" s="1"/>
  <c r="L14"/>
  <c r="J14"/>
  <c r="J13" s="1"/>
  <c r="L89"/>
  <c r="N576" i="4"/>
  <c r="R344" i="6"/>
  <c r="R342"/>
  <c r="R341" s="1"/>
  <c r="R77"/>
  <c r="R76"/>
  <c r="Q77"/>
  <c r="Q76"/>
  <c r="R74"/>
  <c r="R82"/>
  <c r="R73"/>
  <c r="Q73"/>
  <c r="Q72"/>
  <c r="R1548"/>
  <c r="R1550"/>
  <c r="R81"/>
  <c r="Q81"/>
  <c r="N430" i="4"/>
  <c r="N431"/>
  <c r="K2875" i="6"/>
  <c r="K2849"/>
  <c r="L2836"/>
  <c r="K2836"/>
  <c r="L2813"/>
  <c r="N2813"/>
  <c r="K2813"/>
  <c r="L388"/>
  <c r="K388"/>
  <c r="K191"/>
  <c r="K96"/>
  <c r="K55"/>
  <c r="N429" i="4"/>
  <c r="O429" s="1"/>
  <c r="R72" i="6"/>
  <c r="R71" s="1"/>
  <c r="R70" s="1"/>
  <c r="N53" i="1"/>
  <c r="R1547" i="6"/>
  <c r="R1546" s="1"/>
  <c r="Q71"/>
  <c r="Q70" s="1"/>
  <c r="L2804"/>
  <c r="K2804"/>
  <c r="X2106"/>
  <c r="N2804"/>
  <c r="N2803" s="1"/>
  <c r="J2804"/>
  <c r="K47"/>
  <c r="L47"/>
  <c r="J47"/>
  <c r="K1578"/>
  <c r="L1578"/>
  <c r="J1578"/>
  <c r="N416"/>
  <c r="J1716" i="4"/>
  <c r="N1713"/>
  <c r="N1712"/>
  <c r="N1711" s="1"/>
  <c r="M1712"/>
  <c r="M1711" s="1"/>
  <c r="N1707"/>
  <c r="O1707" s="1"/>
  <c r="L1706"/>
  <c r="N1704"/>
  <c r="O1704"/>
  <c r="K1703"/>
  <c r="K1699"/>
  <c r="N1701"/>
  <c r="O1701"/>
  <c r="L1700"/>
  <c r="L1699"/>
  <c r="N1693"/>
  <c r="N1692"/>
  <c r="N1691"/>
  <c r="N1690"/>
  <c r="N1689"/>
  <c r="N1688"/>
  <c r="N1687"/>
  <c r="N1686"/>
  <c r="N1685"/>
  <c r="N1684"/>
  <c r="N1683"/>
  <c r="N1682"/>
  <c r="N1680" s="1"/>
  <c r="N1681"/>
  <c r="L1680"/>
  <c r="N1678"/>
  <c r="N1677"/>
  <c r="S1676"/>
  <c r="N1676"/>
  <c r="N1675"/>
  <c r="N1674"/>
  <c r="N1673"/>
  <c r="N1672"/>
  <c r="S1671"/>
  <c r="N1671"/>
  <c r="N1670"/>
  <c r="N1669"/>
  <c r="N1668"/>
  <c r="N1667"/>
  <c r="N1666"/>
  <c r="N1665"/>
  <c r="S1664"/>
  <c r="N1664"/>
  <c r="S1663"/>
  <c r="N1663"/>
  <c r="N1662"/>
  <c r="S1661"/>
  <c r="N1661"/>
  <c r="N1660"/>
  <c r="N1659"/>
  <c r="N1658"/>
  <c r="N1657" s="1"/>
  <c r="M1657"/>
  <c r="L1657"/>
  <c r="N1655"/>
  <c r="N1654"/>
  <c r="N1653"/>
  <c r="N1652"/>
  <c r="N1651"/>
  <c r="N1650"/>
  <c r="N1649"/>
  <c r="N1648"/>
  <c r="M1647"/>
  <c r="L1647"/>
  <c r="N1645"/>
  <c r="N1644"/>
  <c r="N1643"/>
  <c r="N1642"/>
  <c r="N1641"/>
  <c r="N1640"/>
  <c r="N1639"/>
  <c r="N1638"/>
  <c r="N1637"/>
  <c r="N1636"/>
  <c r="N1635"/>
  <c r="N1634"/>
  <c r="N1633"/>
  <c r="N1632"/>
  <c r="N1631"/>
  <c r="N1630"/>
  <c r="N1629"/>
  <c r="N1628"/>
  <c r="N1627"/>
  <c r="T1626"/>
  <c r="N1626"/>
  <c r="N1625"/>
  <c r="N1624"/>
  <c r="T1623"/>
  <c r="N1623"/>
  <c r="N1622"/>
  <c r="N1620" s="1"/>
  <c r="O1620" s="1"/>
  <c r="N1621"/>
  <c r="L1620"/>
  <c r="N1618"/>
  <c r="N1617"/>
  <c r="N1616"/>
  <c r="T1615"/>
  <c r="N1615"/>
  <c r="N1614"/>
  <c r="T1613"/>
  <c r="N1613"/>
  <c r="N1612" s="1"/>
  <c r="L1612"/>
  <c r="N1609"/>
  <c r="N1608"/>
  <c r="N1602"/>
  <c r="L1601"/>
  <c r="L1599"/>
  <c r="N1599"/>
  <c r="N1598"/>
  <c r="N1597"/>
  <c r="N1596"/>
  <c r="N1595"/>
  <c r="N1594"/>
  <c r="N1593"/>
  <c r="N1592"/>
  <c r="N1591"/>
  <c r="N1590"/>
  <c r="N1589"/>
  <c r="N1583"/>
  <c r="N1582"/>
  <c r="N1581"/>
  <c r="N1580"/>
  <c r="N1579"/>
  <c r="N1578"/>
  <c r="N1577"/>
  <c r="N1576"/>
  <c r="S1569"/>
  <c r="R1569"/>
  <c r="L1569"/>
  <c r="N1569"/>
  <c r="S1568"/>
  <c r="R1568"/>
  <c r="L1568"/>
  <c r="N1568"/>
  <c r="N1567"/>
  <c r="N1566"/>
  <c r="L1565"/>
  <c r="N1565"/>
  <c r="N1564"/>
  <c r="L1563"/>
  <c r="N1563"/>
  <c r="N1158"/>
  <c r="N1159"/>
  <c r="N1160"/>
  <c r="N1161"/>
  <c r="N1162"/>
  <c r="N1163"/>
  <c r="N1164"/>
  <c r="N1165"/>
  <c r="N1166"/>
  <c r="N1167"/>
  <c r="N1168"/>
  <c r="N1169"/>
  <c r="N1170"/>
  <c r="N1171"/>
  <c r="N1172"/>
  <c r="N1173"/>
  <c r="N1174"/>
  <c r="N1175"/>
  <c r="N1179"/>
  <c r="N1185"/>
  <c r="N1188"/>
  <c r="N1189"/>
  <c r="N1190"/>
  <c r="N1191"/>
  <c r="N1192"/>
  <c r="N1193"/>
  <c r="N1194"/>
  <c r="N1195"/>
  <c r="N1196"/>
  <c r="N1199"/>
  <c r="N1200"/>
  <c r="N1203"/>
  <c r="N1204"/>
  <c r="N1205"/>
  <c r="N1206"/>
  <c r="N1207"/>
  <c r="N1208"/>
  <c r="N1209"/>
  <c r="N1210"/>
  <c r="N1211"/>
  <c r="N1212"/>
  <c r="N1213"/>
  <c r="N1214"/>
  <c r="N1215"/>
  <c r="N1216"/>
  <c r="N1217"/>
  <c r="N1218"/>
  <c r="N1219"/>
  <c r="L1220"/>
  <c r="N1220"/>
  <c r="N1221"/>
  <c r="N1222"/>
  <c r="N1225"/>
  <c r="N1226"/>
  <c r="N1227"/>
  <c r="N1228"/>
  <c r="N1229"/>
  <c r="N1230"/>
  <c r="N1231"/>
  <c r="N1232"/>
  <c r="N1233"/>
  <c r="N1239"/>
  <c r="N1240"/>
  <c r="N1241"/>
  <c r="N1242"/>
  <c r="L1243"/>
  <c r="N1243"/>
  <c r="N1244"/>
  <c r="N1245"/>
  <c r="N1246"/>
  <c r="N1247"/>
  <c r="L1248"/>
  <c r="N1248"/>
  <c r="N1249"/>
  <c r="N1250"/>
  <c r="N1251"/>
  <c r="L1252"/>
  <c r="N1252"/>
  <c r="N1253"/>
  <c r="N1254"/>
  <c r="N1265"/>
  <c r="N1266"/>
  <c r="N1272"/>
  <c r="N1273"/>
  <c r="N1274"/>
  <c r="N1275"/>
  <c r="N1276"/>
  <c r="N1277"/>
  <c r="N1369"/>
  <c r="N1370"/>
  <c r="N1371"/>
  <c r="N1372"/>
  <c r="N1373"/>
  <c r="N1374"/>
  <c r="N1375"/>
  <c r="N1376"/>
  <c r="N1377"/>
  <c r="N1385"/>
  <c r="N1386"/>
  <c r="N1387"/>
  <c r="N1420"/>
  <c r="N1421"/>
  <c r="N1422"/>
  <c r="N1457"/>
  <c r="N1458"/>
  <c r="N1459"/>
  <c r="N1460"/>
  <c r="N1465"/>
  <c r="L1466"/>
  <c r="N1466"/>
  <c r="N1467"/>
  <c r="N1468"/>
  <c r="N1469"/>
  <c r="N1470"/>
  <c r="N1471"/>
  <c r="N1476"/>
  <c r="N1477"/>
  <c r="N1478"/>
  <c r="N1479"/>
  <c r="N1480"/>
  <c r="N1481"/>
  <c r="N1485"/>
  <c r="N1486"/>
  <c r="N1497"/>
  <c r="N1498"/>
  <c r="N1499"/>
  <c r="N1500"/>
  <c r="N1501"/>
  <c r="N1502"/>
  <c r="N1503"/>
  <c r="N1554"/>
  <c r="N1557"/>
  <c r="N1558"/>
  <c r="N1559"/>
  <c r="N1560"/>
  <c r="N1561"/>
  <c r="N1562"/>
  <c r="S1466"/>
  <c r="R1466"/>
  <c r="S1243"/>
  <c r="R1243"/>
  <c r="S1220"/>
  <c r="S1157"/>
  <c r="R1220"/>
  <c r="N1155"/>
  <c r="N1154"/>
  <c r="N1151"/>
  <c r="S1150"/>
  <c r="R1150"/>
  <c r="L1150"/>
  <c r="N1150"/>
  <c r="N1149"/>
  <c r="N1148"/>
  <c r="N1128"/>
  <c r="N1127"/>
  <c r="S1126"/>
  <c r="R1126"/>
  <c r="L1126"/>
  <c r="N1126"/>
  <c r="L1125"/>
  <c r="N1125"/>
  <c r="N1124"/>
  <c r="N1123"/>
  <c r="N1122"/>
  <c r="N1121"/>
  <c r="N1120"/>
  <c r="N1119"/>
  <c r="N1118"/>
  <c r="N1114"/>
  <c r="N1113"/>
  <c r="N1112"/>
  <c r="N1106"/>
  <c r="N1105"/>
  <c r="N1102"/>
  <c r="N1092"/>
  <c r="N1091"/>
  <c r="N1090"/>
  <c r="N1089"/>
  <c r="N1088"/>
  <c r="N1087"/>
  <c r="N1086"/>
  <c r="N1085"/>
  <c r="N1084"/>
  <c r="N1083"/>
  <c r="N1082"/>
  <c r="N1034"/>
  <c r="N1033"/>
  <c r="N1032"/>
  <c r="N1031"/>
  <c r="N1030"/>
  <c r="N1029"/>
  <c r="N1028"/>
  <c r="N1027"/>
  <c r="N1026"/>
  <c r="N1023"/>
  <c r="N1019"/>
  <c r="N1015"/>
  <c r="N1008"/>
  <c r="N1007"/>
  <c r="N1006"/>
  <c r="N1005"/>
  <c r="N1004"/>
  <c r="N1003"/>
  <c r="S1002"/>
  <c r="R1002"/>
  <c r="L1002"/>
  <c r="N1002"/>
  <c r="N1001"/>
  <c r="N1000"/>
  <c r="N999"/>
  <c r="N996"/>
  <c r="N995"/>
  <c r="N990"/>
  <c r="N989"/>
  <c r="N986"/>
  <c r="N985"/>
  <c r="S984"/>
  <c r="R984"/>
  <c r="L984"/>
  <c r="N984"/>
  <c r="L983"/>
  <c r="N983"/>
  <c r="N966"/>
  <c r="N960"/>
  <c r="N959"/>
  <c r="N958"/>
  <c r="N957"/>
  <c r="N956"/>
  <c r="N955"/>
  <c r="N954"/>
  <c r="N953"/>
  <c r="N952"/>
  <c r="S951"/>
  <c r="R951"/>
  <c r="R683"/>
  <c r="L951"/>
  <c r="N951"/>
  <c r="N950"/>
  <c r="L930"/>
  <c r="N930"/>
  <c r="N927"/>
  <c r="N926"/>
  <c r="N925"/>
  <c r="N924"/>
  <c r="N923"/>
  <c r="N922"/>
  <c r="N921"/>
  <c r="N920"/>
  <c r="N919"/>
  <c r="N918"/>
  <c r="N917"/>
  <c r="N911"/>
  <c r="N910"/>
  <c r="N892"/>
  <c r="N891"/>
  <c r="N890"/>
  <c r="N889"/>
  <c r="N888"/>
  <c r="N887"/>
  <c r="N886"/>
  <c r="N885"/>
  <c r="N884"/>
  <c r="N883"/>
  <c r="N882"/>
  <c r="N879"/>
  <c r="N878"/>
  <c r="N877"/>
  <c r="N876"/>
  <c r="N875"/>
  <c r="N872"/>
  <c r="N871"/>
  <c r="N870"/>
  <c r="N869"/>
  <c r="N866"/>
  <c r="N865"/>
  <c r="N860"/>
  <c r="N859"/>
  <c r="N858"/>
  <c r="N857"/>
  <c r="N856"/>
  <c r="N855"/>
  <c r="N851"/>
  <c r="N850"/>
  <c r="N849"/>
  <c r="N848"/>
  <c r="N844"/>
  <c r="N843"/>
  <c r="N842"/>
  <c r="N832"/>
  <c r="N831"/>
  <c r="N830"/>
  <c r="N829"/>
  <c r="N828"/>
  <c r="N761"/>
  <c r="N760"/>
  <c r="N759"/>
  <c r="N755"/>
  <c r="N754"/>
  <c r="N753"/>
  <c r="L752"/>
  <c r="L683"/>
  <c r="N751"/>
  <c r="N750"/>
  <c r="N742"/>
  <c r="N741"/>
  <c r="N738"/>
  <c r="N737"/>
  <c r="N732"/>
  <c r="N727"/>
  <c r="N726"/>
  <c r="N725"/>
  <c r="N724"/>
  <c r="N723"/>
  <c r="N722"/>
  <c r="N721"/>
  <c r="N720"/>
  <c r="N719"/>
  <c r="N718"/>
  <c r="N717"/>
  <c r="N716"/>
  <c r="N715"/>
  <c r="N708"/>
  <c r="N707"/>
  <c r="N706"/>
  <c r="N705"/>
  <c r="N693"/>
  <c r="N692"/>
  <c r="N691"/>
  <c r="N690"/>
  <c r="N689"/>
  <c r="N688"/>
  <c r="N687"/>
  <c r="N686"/>
  <c r="N685"/>
  <c r="N684"/>
  <c r="N680"/>
  <c r="N679"/>
  <c r="L678"/>
  <c r="L676" s="1"/>
  <c r="L649" s="1"/>
  <c r="N677"/>
  <c r="O677" s="1"/>
  <c r="N674"/>
  <c r="O674" s="1"/>
  <c r="L673"/>
  <c r="N671"/>
  <c r="N670"/>
  <c r="N669"/>
  <c r="N668"/>
  <c r="N667"/>
  <c r="N666"/>
  <c r="N665"/>
  <c r="N664"/>
  <c r="N663"/>
  <c r="N662"/>
  <c r="N661"/>
  <c r="N660"/>
  <c r="N659"/>
  <c r="N658"/>
  <c r="N657"/>
  <c r="N656"/>
  <c r="N655"/>
  <c r="N654"/>
  <c r="N653"/>
  <c r="N652"/>
  <c r="N650" s="1"/>
  <c r="N651"/>
  <c r="L650"/>
  <c r="N647"/>
  <c r="O647"/>
  <c r="L646"/>
  <c r="N644"/>
  <c r="N643"/>
  <c r="N642"/>
  <c r="N641"/>
  <c r="N640"/>
  <c r="N639"/>
  <c r="N638"/>
  <c r="N637"/>
  <c r="N636"/>
  <c r="L635"/>
  <c r="L597"/>
  <c r="L596" s="1"/>
  <c r="N634"/>
  <c r="N633"/>
  <c r="N632"/>
  <c r="N631"/>
  <c r="N630"/>
  <c r="N629"/>
  <c r="N628"/>
  <c r="N627"/>
  <c r="N626"/>
  <c r="N625"/>
  <c r="N624"/>
  <c r="N623"/>
  <c r="N622"/>
  <c r="N621"/>
  <c r="N620"/>
  <c r="N619"/>
  <c r="N618"/>
  <c r="N617"/>
  <c r="N616"/>
  <c r="N615"/>
  <c r="N614"/>
  <c r="R613"/>
  <c r="N613"/>
  <c r="R612"/>
  <c r="N612"/>
  <c r="S611"/>
  <c r="R611"/>
  <c r="N611"/>
  <c r="N610"/>
  <c r="N609"/>
  <c r="S608"/>
  <c r="R608"/>
  <c r="N608"/>
  <c r="N607"/>
  <c r="N606"/>
  <c r="N605"/>
  <c r="S604"/>
  <c r="N604"/>
  <c r="N603"/>
  <c r="R602"/>
  <c r="N602"/>
  <c r="N601"/>
  <c r="R600"/>
  <c r="N600"/>
  <c r="N599"/>
  <c r="N598"/>
  <c r="N594"/>
  <c r="N593"/>
  <c r="N592"/>
  <c r="N591"/>
  <c r="M590"/>
  <c r="N590"/>
  <c r="N589"/>
  <c r="N588"/>
  <c r="N587"/>
  <c r="N586"/>
  <c r="N585"/>
  <c r="N584"/>
  <c r="N583"/>
  <c r="N582"/>
  <c r="N581"/>
  <c r="N580"/>
  <c r="N579"/>
  <c r="N578"/>
  <c r="N577"/>
  <c r="N575"/>
  <c r="M574"/>
  <c r="N574"/>
  <c r="N573"/>
  <c r="N572"/>
  <c r="N571"/>
  <c r="N570"/>
  <c r="N569"/>
  <c r="N568"/>
  <c r="M567"/>
  <c r="N566"/>
  <c r="N565"/>
  <c r="N562"/>
  <c r="N561"/>
  <c r="N560"/>
  <c r="N559"/>
  <c r="N558"/>
  <c r="N557"/>
  <c r="N556"/>
  <c r="N555"/>
  <c r="N554"/>
  <c r="N553"/>
  <c r="N552"/>
  <c r="N551"/>
  <c r="N550"/>
  <c r="N549"/>
  <c r="N548"/>
  <c r="N547"/>
  <c r="N546"/>
  <c r="N545"/>
  <c r="N544"/>
  <c r="N543"/>
  <c r="N542"/>
  <c r="N541"/>
  <c r="N540"/>
  <c r="N539"/>
  <c r="N538"/>
  <c r="N537"/>
  <c r="N536"/>
  <c r="N535"/>
  <c r="N534"/>
  <c r="N533"/>
  <c r="N532"/>
  <c r="N531"/>
  <c r="N530"/>
  <c r="N529"/>
  <c r="N528"/>
  <c r="N527"/>
  <c r="N526"/>
  <c r="N525"/>
  <c r="N524"/>
  <c r="N523"/>
  <c r="N522" s="1"/>
  <c r="M522"/>
  <c r="N520"/>
  <c r="N519"/>
  <c r="N518"/>
  <c r="N517"/>
  <c r="N516"/>
  <c r="N515"/>
  <c r="N514"/>
  <c r="N513"/>
  <c r="N512"/>
  <c r="N511"/>
  <c r="N510"/>
  <c r="N509"/>
  <c r="N508"/>
  <c r="N506" s="1"/>
  <c r="N505" s="1"/>
  <c r="N507"/>
  <c r="M506"/>
  <c r="N503"/>
  <c r="O503"/>
  <c r="N501"/>
  <c r="N500"/>
  <c r="M499"/>
  <c r="L499"/>
  <c r="N497"/>
  <c r="O497"/>
  <c r="N493"/>
  <c r="N492"/>
  <c r="N490" s="1"/>
  <c r="O490" s="1"/>
  <c r="N491"/>
  <c r="M490"/>
  <c r="L490"/>
  <c r="N488"/>
  <c r="N486" s="1"/>
  <c r="O486" s="1"/>
  <c r="N487"/>
  <c r="M486"/>
  <c r="L486"/>
  <c r="N484"/>
  <c r="N482" s="1"/>
  <c r="O482" s="1"/>
  <c r="N483"/>
  <c r="M482"/>
  <c r="L482"/>
  <c r="N480"/>
  <c r="N479"/>
  <c r="N478"/>
  <c r="M477"/>
  <c r="L477"/>
  <c r="N475"/>
  <c r="N474"/>
  <c r="N473"/>
  <c r="M472"/>
  <c r="L472"/>
  <c r="N470"/>
  <c r="N469"/>
  <c r="N468"/>
  <c r="N467"/>
  <c r="N466"/>
  <c r="M465"/>
  <c r="L465"/>
  <c r="N463"/>
  <c r="N462"/>
  <c r="N460" s="1"/>
  <c r="O460" s="1"/>
  <c r="N461"/>
  <c r="M460"/>
  <c r="L460"/>
  <c r="N458"/>
  <c r="N457"/>
  <c r="N456"/>
  <c r="N455" s="1"/>
  <c r="O455" s="1"/>
  <c r="M455"/>
  <c r="L455"/>
  <c r="N453"/>
  <c r="N452"/>
  <c r="N451"/>
  <c r="N450"/>
  <c r="N449"/>
  <c r="N448"/>
  <c r="N447"/>
  <c r="N446"/>
  <c r="N445"/>
  <c r="N444"/>
  <c r="N443"/>
  <c r="N442"/>
  <c r="N440" s="1"/>
  <c r="N441"/>
  <c r="L440"/>
  <c r="N438"/>
  <c r="N437"/>
  <c r="N436"/>
  <c r="L435"/>
  <c r="N433"/>
  <c r="N427"/>
  <c r="N420" s="1"/>
  <c r="N426"/>
  <c r="O426"/>
  <c r="N425"/>
  <c r="O425"/>
  <c r="N424"/>
  <c r="O424"/>
  <c r="N423"/>
  <c r="O423"/>
  <c r="N422"/>
  <c r="O422"/>
  <c r="N421"/>
  <c r="O421"/>
  <c r="L420"/>
  <c r="N417"/>
  <c r="N416"/>
  <c r="N415"/>
  <c r="L414"/>
  <c r="N412"/>
  <c r="N411"/>
  <c r="N410"/>
  <c r="N409"/>
  <c r="L408"/>
  <c r="N406"/>
  <c r="N405"/>
  <c r="N404"/>
  <c r="N403"/>
  <c r="N401" s="1"/>
  <c r="O401" s="1"/>
  <c r="N402"/>
  <c r="L401"/>
  <c r="N399"/>
  <c r="N398"/>
  <c r="N397" s="1"/>
  <c r="O397" s="1"/>
  <c r="L397"/>
  <c r="N395"/>
  <c r="N394"/>
  <c r="N393"/>
  <c r="N392" s="1"/>
  <c r="O392" s="1"/>
  <c r="L392"/>
  <c r="N390"/>
  <c r="N388"/>
  <c r="N387"/>
  <c r="N386"/>
  <c r="N385"/>
  <c r="L384"/>
  <c r="N382"/>
  <c r="N380"/>
  <c r="N379"/>
  <c r="N378"/>
  <c r="N377"/>
  <c r="N375" s="1"/>
  <c r="O375" s="1"/>
  <c r="N376"/>
  <c r="L375"/>
  <c r="N373"/>
  <c r="N372"/>
  <c r="N371"/>
  <c r="N370"/>
  <c r="N369"/>
  <c r="N368"/>
  <c r="N367"/>
  <c r="N366"/>
  <c r="L365"/>
  <c r="N363"/>
  <c r="N362"/>
  <c r="N361"/>
  <c r="L360"/>
  <c r="N358"/>
  <c r="N357"/>
  <c r="N356"/>
  <c r="N355"/>
  <c r="N354"/>
  <c r="N353"/>
  <c r="N352"/>
  <c r="N351"/>
  <c r="N350"/>
  <c r="N349" s="1"/>
  <c r="O349" s="1"/>
  <c r="L349"/>
  <c r="N347"/>
  <c r="N346"/>
  <c r="N345"/>
  <c r="N343" s="1"/>
  <c r="O343" s="1"/>
  <c r="N344"/>
  <c r="L343"/>
  <c r="N341"/>
  <c r="O341"/>
  <c r="N340"/>
  <c r="O340"/>
  <c r="N339"/>
  <c r="O339"/>
  <c r="N337"/>
  <c r="N335"/>
  <c r="N334"/>
  <c r="N333"/>
  <c r="N332"/>
  <c r="N331"/>
  <c r="N330"/>
  <c r="N329"/>
  <c r="N328"/>
  <c r="N327"/>
  <c r="N326"/>
  <c r="N325"/>
  <c r="N324"/>
  <c r="N323"/>
  <c r="N322" s="1"/>
  <c r="O322" s="1"/>
  <c r="L322"/>
  <c r="N320"/>
  <c r="N319"/>
  <c r="N318"/>
  <c r="N317" s="1"/>
  <c r="O317" s="1"/>
  <c r="L317"/>
  <c r="N315"/>
  <c r="N313" s="1"/>
  <c r="O313" s="1"/>
  <c r="N314"/>
  <c r="M313"/>
  <c r="L313"/>
  <c r="N311"/>
  <c r="N309" s="1"/>
  <c r="O309" s="1"/>
  <c r="N310"/>
  <c r="L309"/>
  <c r="N307"/>
  <c r="N305"/>
  <c r="N303" s="1"/>
  <c r="O303" s="1"/>
  <c r="N304"/>
  <c r="L303"/>
  <c r="N301"/>
  <c r="O301"/>
  <c r="N299"/>
  <c r="N298"/>
  <c r="N297"/>
  <c r="N296"/>
  <c r="N295"/>
  <c r="N294"/>
  <c r="N293"/>
  <c r="N292"/>
  <c r="N291" s="1"/>
  <c r="O291" s="1"/>
  <c r="L291"/>
  <c r="N289"/>
  <c r="N287" s="1"/>
  <c r="O287" s="1"/>
  <c r="N288"/>
  <c r="L287"/>
  <c r="N285"/>
  <c r="N284"/>
  <c r="L283"/>
  <c r="N281"/>
  <c r="N280"/>
  <c r="L279"/>
  <c r="N277"/>
  <c r="N276"/>
  <c r="N275" s="1"/>
  <c r="O275" s="1"/>
  <c r="L275"/>
  <c r="N273"/>
  <c r="N271" s="1"/>
  <c r="O271" s="1"/>
  <c r="N272"/>
  <c r="L271"/>
  <c r="N269"/>
  <c r="N268"/>
  <c r="N266" s="1"/>
  <c r="O266" s="1"/>
  <c r="N267"/>
  <c r="L266"/>
  <c r="L254" s="1"/>
  <c r="N264"/>
  <c r="N263"/>
  <c r="N262"/>
  <c r="N261"/>
  <c r="N260"/>
  <c r="N259"/>
  <c r="N258" s="1"/>
  <c r="L258"/>
  <c r="N256"/>
  <c r="O256" s="1"/>
  <c r="N255"/>
  <c r="O255" s="1"/>
  <c r="N252"/>
  <c r="N251" s="1"/>
  <c r="L251"/>
  <c r="N249"/>
  <c r="N248"/>
  <c r="M248"/>
  <c r="N246"/>
  <c r="N245" s="1"/>
  <c r="N244" s="1"/>
  <c r="L245"/>
  <c r="L244"/>
  <c r="T242"/>
  <c r="N242"/>
  <c r="N241" s="1"/>
  <c r="N240" s="1"/>
  <c r="L241"/>
  <c r="L240"/>
  <c r="N238"/>
  <c r="O238"/>
  <c r="L237"/>
  <c r="L236"/>
  <c r="N234"/>
  <c r="N233"/>
  <c r="L232"/>
  <c r="N230"/>
  <c r="O230" s="1"/>
  <c r="L229"/>
  <c r="N227"/>
  <c r="N225" s="1"/>
  <c r="N226"/>
  <c r="L225"/>
  <c r="N222"/>
  <c r="N221"/>
  <c r="L220"/>
  <c r="N218"/>
  <c r="N217" s="1"/>
  <c r="N216" s="1"/>
  <c r="L217"/>
  <c r="L216" s="1"/>
  <c r="N214"/>
  <c r="N213"/>
  <c r="L213"/>
  <c r="N211"/>
  <c r="N210" s="1"/>
  <c r="L210"/>
  <c r="N208"/>
  <c r="O208"/>
  <c r="L207"/>
  <c r="N205"/>
  <c r="N204" s="1"/>
  <c r="L204"/>
  <c r="N202"/>
  <c r="N201"/>
  <c r="L201"/>
  <c r="N199"/>
  <c r="N198" s="1"/>
  <c r="N194" s="1"/>
  <c r="L198"/>
  <c r="L194" s="1"/>
  <c r="N196"/>
  <c r="N195"/>
  <c r="L195"/>
  <c r="N192"/>
  <c r="N191"/>
  <c r="L190"/>
  <c r="L186" s="1"/>
  <c r="N188"/>
  <c r="O188"/>
  <c r="L187"/>
  <c r="N185"/>
  <c r="N184"/>
  <c r="N183"/>
  <c r="N182"/>
  <c r="N181"/>
  <c r="N180" s="1"/>
  <c r="L180"/>
  <c r="N178"/>
  <c r="N176" s="1"/>
  <c r="N177"/>
  <c r="L176"/>
  <c r="L175" s="1"/>
  <c r="N173"/>
  <c r="S172"/>
  <c r="R172"/>
  <c r="N172"/>
  <c r="N170" s="1"/>
  <c r="O170" s="1"/>
  <c r="S171"/>
  <c r="R171"/>
  <c r="N171"/>
  <c r="L170"/>
  <c r="N168"/>
  <c r="N167"/>
  <c r="L167"/>
  <c r="N165"/>
  <c r="N164" s="1"/>
  <c r="L164"/>
  <c r="N162"/>
  <c r="N161"/>
  <c r="L161"/>
  <c r="N159"/>
  <c r="N158" s="1"/>
  <c r="N157" s="1"/>
  <c r="L158"/>
  <c r="L157" s="1"/>
  <c r="N155"/>
  <c r="L154"/>
  <c r="N152"/>
  <c r="N151"/>
  <c r="L151"/>
  <c r="N150"/>
  <c r="O150" s="1"/>
  <c r="L149"/>
  <c r="N146"/>
  <c r="N145"/>
  <c r="L145"/>
  <c r="N143"/>
  <c r="N142"/>
  <c r="N141"/>
  <c r="N140"/>
  <c r="S139"/>
  <c r="S138"/>
  <c r="S137"/>
  <c r="N139"/>
  <c r="M138"/>
  <c r="M137" s="1"/>
  <c r="M56" s="1"/>
  <c r="M38" s="1"/>
  <c r="L138"/>
  <c r="L137"/>
  <c r="N135"/>
  <c r="N134"/>
  <c r="L134"/>
  <c r="N132"/>
  <c r="N131"/>
  <c r="N130"/>
  <c r="N129" s="1"/>
  <c r="O129" s="1"/>
  <c r="L129"/>
  <c r="N127"/>
  <c r="N126"/>
  <c r="N125"/>
  <c r="N123" s="1"/>
  <c r="N124"/>
  <c r="L123"/>
  <c r="N120"/>
  <c r="N119"/>
  <c r="L119"/>
  <c r="N117"/>
  <c r="N116" s="1"/>
  <c r="N113" s="1"/>
  <c r="L116"/>
  <c r="N115"/>
  <c r="N114"/>
  <c r="L114"/>
  <c r="N111"/>
  <c r="N110"/>
  <c r="M109"/>
  <c r="L109"/>
  <c r="N107"/>
  <c r="N106"/>
  <c r="L105"/>
  <c r="N103"/>
  <c r="N102"/>
  <c r="N100" s="1"/>
  <c r="N101"/>
  <c r="L100"/>
  <c r="N98"/>
  <c r="N97"/>
  <c r="N96" s="1"/>
  <c r="N95" s="1"/>
  <c r="L96"/>
  <c r="N93"/>
  <c r="N92" s="1"/>
  <c r="N91" s="1"/>
  <c r="L92"/>
  <c r="L91"/>
  <c r="N89"/>
  <c r="N88"/>
  <c r="N87"/>
  <c r="N86"/>
  <c r="N85"/>
  <c r="N84"/>
  <c r="N83"/>
  <c r="N82"/>
  <c r="N81"/>
  <c r="N80"/>
  <c r="N79"/>
  <c r="N78"/>
  <c r="N77"/>
  <c r="N76"/>
  <c r="N75"/>
  <c r="N74"/>
  <c r="N73"/>
  <c r="N72"/>
  <c r="N71"/>
  <c r="N70"/>
  <c r="N69"/>
  <c r="N68"/>
  <c r="N67"/>
  <c r="L66"/>
  <c r="N64"/>
  <c r="L63"/>
  <c r="N61"/>
  <c r="N60"/>
  <c r="N59"/>
  <c r="L58"/>
  <c r="L57" s="1"/>
  <c r="N54"/>
  <c r="O54"/>
  <c r="N53"/>
  <c r="O53"/>
  <c r="N52"/>
  <c r="O52"/>
  <c r="S51"/>
  <c r="S50"/>
  <c r="R51"/>
  <c r="R50"/>
  <c r="N51"/>
  <c r="O51"/>
  <c r="M50"/>
  <c r="L50"/>
  <c r="N48"/>
  <c r="O48"/>
  <c r="N47"/>
  <c r="O47"/>
  <c r="N46"/>
  <c r="N45"/>
  <c r="N44"/>
  <c r="N43"/>
  <c r="N42"/>
  <c r="N41"/>
  <c r="N40" s="1"/>
  <c r="O40" s="1"/>
  <c r="L40"/>
  <c r="L39"/>
  <c r="N36"/>
  <c r="O36"/>
  <c r="K35"/>
  <c r="K34"/>
  <c r="N32"/>
  <c r="O32"/>
  <c r="M31"/>
  <c r="N29"/>
  <c r="N27" s="1"/>
  <c r="N26" s="1"/>
  <c r="N28"/>
  <c r="O28"/>
  <c r="M27"/>
  <c r="N24"/>
  <c r="O24" s="1"/>
  <c r="M23"/>
  <c r="M22" s="1"/>
  <c r="M1716" s="1"/>
  <c r="N16"/>
  <c r="N15" s="1"/>
  <c r="N14" s="1"/>
  <c r="L15"/>
  <c r="L14"/>
  <c r="N12"/>
  <c r="N11"/>
  <c r="M10"/>
  <c r="M9"/>
  <c r="N752"/>
  <c r="N1700"/>
  <c r="N1703"/>
  <c r="N1706"/>
  <c r="O1713"/>
  <c r="X70" i="3"/>
  <c r="W70"/>
  <c r="J68"/>
  <c r="M65"/>
  <c r="M63"/>
  <c r="M59"/>
  <c r="M56"/>
  <c r="M50"/>
  <c r="M46"/>
  <c r="M42"/>
  <c r="M36"/>
  <c r="M32"/>
  <c r="M28"/>
  <c r="M24"/>
  <c r="M20"/>
  <c r="M16"/>
  <c r="M10"/>
  <c r="L65"/>
  <c r="L63"/>
  <c r="L59"/>
  <c r="L56"/>
  <c r="L50"/>
  <c r="L46"/>
  <c r="L42"/>
  <c r="L36"/>
  <c r="L32"/>
  <c r="L28"/>
  <c r="L24"/>
  <c r="L20"/>
  <c r="L16"/>
  <c r="L10"/>
  <c r="K65"/>
  <c r="K68" s="1"/>
  <c r="K63"/>
  <c r="K59"/>
  <c r="N58"/>
  <c r="N57"/>
  <c r="N56" s="1"/>
  <c r="K56"/>
  <c r="K50"/>
  <c r="K46"/>
  <c r="K42"/>
  <c r="K36"/>
  <c r="K32"/>
  <c r="K28"/>
  <c r="K24"/>
  <c r="K20"/>
  <c r="K16"/>
  <c r="K10"/>
  <c r="N52"/>
  <c r="N51"/>
  <c r="N50" s="1"/>
  <c r="N48"/>
  <c r="N47" s="1"/>
  <c r="N46" s="1"/>
  <c r="N44"/>
  <c r="N43"/>
  <c r="N42" s="1"/>
  <c r="S37"/>
  <c r="S36" s="1"/>
  <c r="S68" s="1"/>
  <c r="R37"/>
  <c r="R36" s="1"/>
  <c r="N38"/>
  <c r="N37" s="1"/>
  <c r="N36" s="1"/>
  <c r="N34"/>
  <c r="N30"/>
  <c r="N29" s="1"/>
  <c r="N28" s="1"/>
  <c r="N26"/>
  <c r="N25"/>
  <c r="N24" s="1"/>
  <c r="N22"/>
  <c r="N21" s="1"/>
  <c r="N20" s="1"/>
  <c r="S18"/>
  <c r="S17"/>
  <c r="S16" s="1"/>
  <c r="R18"/>
  <c r="R17"/>
  <c r="R16"/>
  <c r="N18"/>
  <c r="N17"/>
  <c r="N16" s="1"/>
  <c r="N13"/>
  <c r="O13" s="1"/>
  <c r="N12"/>
  <c r="O12" s="1"/>
  <c r="X3040" i="6"/>
  <c r="Y3040"/>
  <c r="X3039"/>
  <c r="Y3039"/>
  <c r="X3038"/>
  <c r="Y3038"/>
  <c r="X3037"/>
  <c r="Y3037"/>
  <c r="X3036"/>
  <c r="Y3036"/>
  <c r="X3035"/>
  <c r="Y3035"/>
  <c r="X3034"/>
  <c r="Y3034"/>
  <c r="X3033"/>
  <c r="Y3033"/>
  <c r="X3032"/>
  <c r="Y3032"/>
  <c r="X3031"/>
  <c r="Y3031"/>
  <c r="X3030"/>
  <c r="Y3030"/>
  <c r="X3029"/>
  <c r="Y3029"/>
  <c r="X3028"/>
  <c r="Y3028"/>
  <c r="X3027"/>
  <c r="Y3027"/>
  <c r="X3026"/>
  <c r="Y3026"/>
  <c r="X3025"/>
  <c r="Y3025"/>
  <c r="X3024"/>
  <c r="Y3024"/>
  <c r="X3023"/>
  <c r="Y3023"/>
  <c r="X3022"/>
  <c r="Y3022"/>
  <c r="X3021"/>
  <c r="Y3021"/>
  <c r="X3020"/>
  <c r="Y3020"/>
  <c r="X3019"/>
  <c r="Y3019"/>
  <c r="X3018"/>
  <c r="Y3018"/>
  <c r="X3017"/>
  <c r="Y3017"/>
  <c r="X3016"/>
  <c r="Y3016"/>
  <c r="X3015"/>
  <c r="Y3015"/>
  <c r="X3014"/>
  <c r="Y3014"/>
  <c r="X3013"/>
  <c r="Y3013"/>
  <c r="X3012"/>
  <c r="Y3012"/>
  <c r="X3011"/>
  <c r="Y3011"/>
  <c r="X3010"/>
  <c r="Y3010"/>
  <c r="X3009"/>
  <c r="Y3009"/>
  <c r="X3008"/>
  <c r="Y3008"/>
  <c r="X3007"/>
  <c r="Y3007"/>
  <c r="X3006"/>
  <c r="Y3006"/>
  <c r="X3005"/>
  <c r="Y3005"/>
  <c r="X3004"/>
  <c r="Y3004"/>
  <c r="X3003"/>
  <c r="Y3003"/>
  <c r="X3002"/>
  <c r="Y3002"/>
  <c r="X3001"/>
  <c r="Y3001"/>
  <c r="X3000"/>
  <c r="Y3000"/>
  <c r="X2999"/>
  <c r="Y2999"/>
  <c r="X2998"/>
  <c r="Y2998"/>
  <c r="X2997"/>
  <c r="Y2997"/>
  <c r="X2996"/>
  <c r="Y2996"/>
  <c r="X2995"/>
  <c r="Y2995"/>
  <c r="X2994"/>
  <c r="Y2994"/>
  <c r="X2993"/>
  <c r="Y2993"/>
  <c r="X2992"/>
  <c r="Y2992"/>
  <c r="X2991"/>
  <c r="Y2991"/>
  <c r="X2990"/>
  <c r="Y2990"/>
  <c r="X2989"/>
  <c r="Y2989"/>
  <c r="X2988"/>
  <c r="Y2988"/>
  <c r="X2987"/>
  <c r="Y2987"/>
  <c r="X2986"/>
  <c r="Y2986"/>
  <c r="X2985"/>
  <c r="Y2985"/>
  <c r="X2984"/>
  <c r="Y2984"/>
  <c r="X2983"/>
  <c r="Y2983"/>
  <c r="X2982"/>
  <c r="Y2982"/>
  <c r="X2981"/>
  <c r="Y2981"/>
  <c r="X2980"/>
  <c r="Y2980"/>
  <c r="X2979"/>
  <c r="Y2979"/>
  <c r="X2978"/>
  <c r="Y2978"/>
  <c r="X2977"/>
  <c r="Y2977"/>
  <c r="X2976"/>
  <c r="Y2976"/>
  <c r="X2975"/>
  <c r="Y2975"/>
  <c r="X2974"/>
  <c r="Y2974"/>
  <c r="X2973"/>
  <c r="Y2973"/>
  <c r="X2972"/>
  <c r="Y2972"/>
  <c r="X2971"/>
  <c r="Y2971"/>
  <c r="X2970"/>
  <c r="Y2970"/>
  <c r="X2969"/>
  <c r="Y2969"/>
  <c r="X2968"/>
  <c r="Y2968"/>
  <c r="X2967"/>
  <c r="Y2967"/>
  <c r="X2966"/>
  <c r="Y2966"/>
  <c r="X2965"/>
  <c r="Y2965"/>
  <c r="X2964"/>
  <c r="Y2964"/>
  <c r="X2963"/>
  <c r="Y2963"/>
  <c r="X2962"/>
  <c r="Y2962"/>
  <c r="X2961"/>
  <c r="Y2961"/>
  <c r="X2960"/>
  <c r="Y2960"/>
  <c r="X2959"/>
  <c r="Y2959"/>
  <c r="X2958"/>
  <c r="Y2958"/>
  <c r="X2957"/>
  <c r="Y2957"/>
  <c r="X2956"/>
  <c r="Y2956"/>
  <c r="X2955"/>
  <c r="Y2955"/>
  <c r="X2954"/>
  <c r="Y2954"/>
  <c r="X2953"/>
  <c r="Y2953"/>
  <c r="X2952"/>
  <c r="Y2952"/>
  <c r="X2951"/>
  <c r="Y2951"/>
  <c r="X2950"/>
  <c r="Y2950"/>
  <c r="X2949"/>
  <c r="Y2949"/>
  <c r="X2948"/>
  <c r="Y2948"/>
  <c r="X2947"/>
  <c r="Y2947"/>
  <c r="X2946"/>
  <c r="Y2946"/>
  <c r="X2945"/>
  <c r="Y2945"/>
  <c r="X2944"/>
  <c r="Y2944"/>
  <c r="X2943"/>
  <c r="Y2943"/>
  <c r="X2942"/>
  <c r="Y2942"/>
  <c r="X2941"/>
  <c r="Y2941"/>
  <c r="X2940"/>
  <c r="Y2940"/>
  <c r="X2939"/>
  <c r="Y2939"/>
  <c r="X2938"/>
  <c r="Y2938"/>
  <c r="X2937"/>
  <c r="Y2937"/>
  <c r="X2936"/>
  <c r="Y2936"/>
  <c r="X2935"/>
  <c r="Y2935"/>
  <c r="X2934"/>
  <c r="Y2934"/>
  <c r="X2933"/>
  <c r="Y2933"/>
  <c r="X2932"/>
  <c r="Y2932"/>
  <c r="X2931"/>
  <c r="Y2931"/>
  <c r="X2930"/>
  <c r="Y2930"/>
  <c r="X2929"/>
  <c r="Y2929"/>
  <c r="X2928"/>
  <c r="Y2928"/>
  <c r="X2927"/>
  <c r="Y2927"/>
  <c r="X2926"/>
  <c r="Y2926"/>
  <c r="X2925"/>
  <c r="Y2925"/>
  <c r="X2924"/>
  <c r="Y2924"/>
  <c r="X2923"/>
  <c r="Y2923"/>
  <c r="X2922"/>
  <c r="Y2922"/>
  <c r="X2921"/>
  <c r="Y2921"/>
  <c r="X2920"/>
  <c r="Y2920"/>
  <c r="X2919"/>
  <c r="Y2919"/>
  <c r="X2918"/>
  <c r="Y2918"/>
  <c r="X2917"/>
  <c r="Y2917"/>
  <c r="X2916"/>
  <c r="Y2916"/>
  <c r="X2915"/>
  <c r="Y2915"/>
  <c r="X2914"/>
  <c r="Y2914"/>
  <c r="X2913"/>
  <c r="Y2913"/>
  <c r="X2912"/>
  <c r="Y2912"/>
  <c r="X2911"/>
  <c r="Y2911"/>
  <c r="X2910"/>
  <c r="Y2910"/>
  <c r="X2909"/>
  <c r="Y2909"/>
  <c r="X2908"/>
  <c r="Y2908"/>
  <c r="X2907"/>
  <c r="Y2907"/>
  <c r="X2906"/>
  <c r="Y2906"/>
  <c r="X2905"/>
  <c r="Y2905"/>
  <c r="X2904"/>
  <c r="X2903"/>
  <c r="Y2903" s="1"/>
  <c r="X2902"/>
  <c r="Y2902" s="1"/>
  <c r="X2900"/>
  <c r="Y2900" s="1"/>
  <c r="X2899"/>
  <c r="Y2899" s="1"/>
  <c r="X2898"/>
  <c r="Y2898" s="1"/>
  <c r="X2897"/>
  <c r="Y2897" s="1"/>
  <c r="X2896"/>
  <c r="Y2896" s="1"/>
  <c r="X2895"/>
  <c r="Y2895" s="1"/>
  <c r="X2894"/>
  <c r="Y2894" s="1"/>
  <c r="X2893"/>
  <c r="Y2893" s="1"/>
  <c r="X2891"/>
  <c r="Y2891" s="1"/>
  <c r="L2890"/>
  <c r="L2892"/>
  <c r="X2892"/>
  <c r="X2888"/>
  <c r="Y2888"/>
  <c r="X2880"/>
  <c r="Y2880"/>
  <c r="X2879"/>
  <c r="M2879"/>
  <c r="X2878"/>
  <c r="M2878"/>
  <c r="X2877"/>
  <c r="M2877"/>
  <c r="X2876"/>
  <c r="M2876"/>
  <c r="L2875"/>
  <c r="J2875"/>
  <c r="X2874"/>
  <c r="Y2874"/>
  <c r="X1517"/>
  <c r="R1516"/>
  <c r="R1509" s="1"/>
  <c r="M1517"/>
  <c r="M1516" s="1"/>
  <c r="L1516"/>
  <c r="K1516"/>
  <c r="J1516"/>
  <c r="X1515"/>
  <c r="Y1515"/>
  <c r="X1514"/>
  <c r="M1514"/>
  <c r="M1513" s="1"/>
  <c r="L1513"/>
  <c r="K1513"/>
  <c r="J1513"/>
  <c r="X2873"/>
  <c r="M2873"/>
  <c r="X2872"/>
  <c r="M2872"/>
  <c r="X2871"/>
  <c r="M2871"/>
  <c r="L2870"/>
  <c r="K2870"/>
  <c r="J2870"/>
  <c r="X2869"/>
  <c r="Y2869" s="1"/>
  <c r="X2868"/>
  <c r="M2868"/>
  <c r="X2867"/>
  <c r="M2867"/>
  <c r="L2866"/>
  <c r="K2866"/>
  <c r="J2866"/>
  <c r="X2865"/>
  <c r="Y2865"/>
  <c r="X2864"/>
  <c r="Y2864"/>
  <c r="X2863"/>
  <c r="M2863"/>
  <c r="X2862"/>
  <c r="M2862"/>
  <c r="X2861"/>
  <c r="M2861"/>
  <c r="R2861"/>
  <c r="X2860"/>
  <c r="M2860"/>
  <c r="X2859"/>
  <c r="R2859"/>
  <c r="M2859"/>
  <c r="X2858"/>
  <c r="M2858"/>
  <c r="X2857"/>
  <c r="M2857"/>
  <c r="R2857"/>
  <c r="X2856"/>
  <c r="M2856"/>
  <c r="X2855"/>
  <c r="M2855"/>
  <c r="X2854"/>
  <c r="M2854"/>
  <c r="X2853"/>
  <c r="R2853"/>
  <c r="M2853"/>
  <c r="X2852"/>
  <c r="R2852"/>
  <c r="M2852"/>
  <c r="X2851"/>
  <c r="M2851"/>
  <c r="X2850"/>
  <c r="Y2850" s="1"/>
  <c r="L2849"/>
  <c r="J2849"/>
  <c r="X2848"/>
  <c r="Y2848" s="1"/>
  <c r="X2847"/>
  <c r="M2847"/>
  <c r="X2846"/>
  <c r="M2846"/>
  <c r="X2845"/>
  <c r="Y2845" s="1"/>
  <c r="X2844"/>
  <c r="Y2844" s="1"/>
  <c r="X2843"/>
  <c r="M2843"/>
  <c r="X2842"/>
  <c r="M2842"/>
  <c r="X2841"/>
  <c r="M2841"/>
  <c r="X2840"/>
  <c r="M2840"/>
  <c r="X2839"/>
  <c r="M2839"/>
  <c r="X2838"/>
  <c r="M2838"/>
  <c r="X2837"/>
  <c r="Y2837" s="1"/>
  <c r="J2836"/>
  <c r="X2835"/>
  <c r="Y2835"/>
  <c r="X2834"/>
  <c r="M2834"/>
  <c r="X2833"/>
  <c r="M2833"/>
  <c r="X2832"/>
  <c r="M2832"/>
  <c r="X2831"/>
  <c r="M2831"/>
  <c r="X2830"/>
  <c r="M2830"/>
  <c r="X2829"/>
  <c r="M2829"/>
  <c r="X2828"/>
  <c r="Y2828"/>
  <c r="X2827"/>
  <c r="M2827"/>
  <c r="X2826"/>
  <c r="M2826"/>
  <c r="X2825"/>
  <c r="M2825"/>
  <c r="X2824"/>
  <c r="M2824"/>
  <c r="X2823"/>
  <c r="M2823"/>
  <c r="X2822"/>
  <c r="M2822"/>
  <c r="X2821"/>
  <c r="M2821"/>
  <c r="X2820"/>
  <c r="M2820"/>
  <c r="X2819"/>
  <c r="M2819"/>
  <c r="X2818"/>
  <c r="M2818"/>
  <c r="X2817"/>
  <c r="M2817"/>
  <c r="X2816"/>
  <c r="M2816"/>
  <c r="X2815"/>
  <c r="M2815"/>
  <c r="X2814"/>
  <c r="Y2814"/>
  <c r="J2813"/>
  <c r="X2812"/>
  <c r="Y2812" s="1"/>
  <c r="X2811"/>
  <c r="M2811"/>
  <c r="X2810"/>
  <c r="M2810"/>
  <c r="X2805"/>
  <c r="Y2805" s="1"/>
  <c r="X1508"/>
  <c r="Y1508" s="1"/>
  <c r="X1504"/>
  <c r="M1504"/>
  <c r="X1503"/>
  <c r="M1503"/>
  <c r="X1477"/>
  <c r="M1477"/>
  <c r="X1476"/>
  <c r="M1476"/>
  <c r="X1436"/>
  <c r="Q1436"/>
  <c r="M1436"/>
  <c r="X1392"/>
  <c r="M1392"/>
  <c r="X1360"/>
  <c r="M1360"/>
  <c r="X1359"/>
  <c r="M1359"/>
  <c r="X1358"/>
  <c r="M1358"/>
  <c r="X1305"/>
  <c r="R1305"/>
  <c r="Q1305"/>
  <c r="M1305"/>
  <c r="X1304"/>
  <c r="M1304"/>
  <c r="X1241"/>
  <c r="X1201"/>
  <c r="M1201"/>
  <c r="X1189"/>
  <c r="M1189"/>
  <c r="R1189"/>
  <c r="Q1189"/>
  <c r="X1155"/>
  <c r="R1155"/>
  <c r="Q1155"/>
  <c r="M1155"/>
  <c r="X1154"/>
  <c r="M1154"/>
  <c r="X1077"/>
  <c r="M1077"/>
  <c r="X1022"/>
  <c r="M1022"/>
  <c r="X969"/>
  <c r="R969"/>
  <c r="Q969"/>
  <c r="M969"/>
  <c r="X933"/>
  <c r="M933"/>
  <c r="R933"/>
  <c r="Q933"/>
  <c r="X901"/>
  <c r="M901"/>
  <c r="X888"/>
  <c r="M888"/>
  <c r="X887"/>
  <c r="M887"/>
  <c r="X886"/>
  <c r="M886"/>
  <c r="X856"/>
  <c r="M856"/>
  <c r="R856"/>
  <c r="Q856"/>
  <c r="X855"/>
  <c r="M855"/>
  <c r="X777"/>
  <c r="M777"/>
  <c r="X678"/>
  <c r="X581"/>
  <c r="R581"/>
  <c r="Q581"/>
  <c r="M581"/>
  <c r="X462"/>
  <c r="M462"/>
  <c r="R462"/>
  <c r="Q462"/>
  <c r="X422"/>
  <c r="M422"/>
  <c r="Q422"/>
  <c r="X421"/>
  <c r="Y421" s="1"/>
  <c r="L420"/>
  <c r="J420"/>
  <c r="X2104"/>
  <c r="M2104"/>
  <c r="N2104"/>
  <c r="X2103"/>
  <c r="Y2103"/>
  <c r="X2102"/>
  <c r="Y2102"/>
  <c r="X2101"/>
  <c r="M2101"/>
  <c r="N2101" s="1"/>
  <c r="X2100"/>
  <c r="Y2100" s="1"/>
  <c r="X2099"/>
  <c r="Y2099" s="1"/>
  <c r="X2098"/>
  <c r="M2098"/>
  <c r="X2097"/>
  <c r="M2097"/>
  <c r="L2096"/>
  <c r="L2095" s="1"/>
  <c r="K2096"/>
  <c r="K2095" s="1"/>
  <c r="J2096"/>
  <c r="J2095" s="1"/>
  <c r="X2094"/>
  <c r="Y2094" s="1"/>
  <c r="X2093"/>
  <c r="Q2093"/>
  <c r="Q2092"/>
  <c r="M2093"/>
  <c r="N2093" s="1"/>
  <c r="L2092"/>
  <c r="K2092"/>
  <c r="J2092"/>
  <c r="X2091"/>
  <c r="Y2091"/>
  <c r="X2090"/>
  <c r="M2090"/>
  <c r="X2089"/>
  <c r="M2089"/>
  <c r="X2088"/>
  <c r="M2088"/>
  <c r="L2087"/>
  <c r="K2087"/>
  <c r="J2087"/>
  <c r="M2085"/>
  <c r="M2083" s="1"/>
  <c r="L2083"/>
  <c r="K2083"/>
  <c r="J2083"/>
  <c r="X2081"/>
  <c r="M2081"/>
  <c r="X2080"/>
  <c r="M2080"/>
  <c r="M2079"/>
  <c r="X2079"/>
  <c r="X2078"/>
  <c r="Y2078"/>
  <c r="L2077"/>
  <c r="K2077"/>
  <c r="J2077"/>
  <c r="X2076"/>
  <c r="Y2076" s="1"/>
  <c r="X2075"/>
  <c r="M2075"/>
  <c r="X2074"/>
  <c r="M2074"/>
  <c r="X2073"/>
  <c r="Y2073" s="1"/>
  <c r="X2072"/>
  <c r="M2072"/>
  <c r="L2071"/>
  <c r="K2071"/>
  <c r="J2071"/>
  <c r="X2070"/>
  <c r="Y2070"/>
  <c r="X2069"/>
  <c r="M2069"/>
  <c r="L2068"/>
  <c r="K2068"/>
  <c r="K2061"/>
  <c r="K2064"/>
  <c r="J2068"/>
  <c r="X2067"/>
  <c r="Y2067" s="1"/>
  <c r="X2066"/>
  <c r="M2066"/>
  <c r="M2065"/>
  <c r="X2065"/>
  <c r="L2064"/>
  <c r="J2064"/>
  <c r="X2063"/>
  <c r="Y2063" s="1"/>
  <c r="X2062"/>
  <c r="M2062"/>
  <c r="M2061"/>
  <c r="L2061"/>
  <c r="X2059"/>
  <c r="Y2059" s="1"/>
  <c r="X2058"/>
  <c r="M2058"/>
  <c r="M2057"/>
  <c r="M2056" s="1"/>
  <c r="J2057"/>
  <c r="K2057"/>
  <c r="K2056"/>
  <c r="L2057"/>
  <c r="L2056"/>
  <c r="X2055"/>
  <c r="Y2055"/>
  <c r="X2054"/>
  <c r="M2054"/>
  <c r="X2053"/>
  <c r="M2053"/>
  <c r="J2052"/>
  <c r="K2052"/>
  <c r="L2052"/>
  <c r="X2051"/>
  <c r="Y2051" s="1"/>
  <c r="X2050"/>
  <c r="R2049"/>
  <c r="M2050"/>
  <c r="M2049" s="1"/>
  <c r="L2049"/>
  <c r="K2049"/>
  <c r="J2049"/>
  <c r="X2048"/>
  <c r="M2048"/>
  <c r="N2048" s="1"/>
  <c r="R2048"/>
  <c r="R2047"/>
  <c r="L2047"/>
  <c r="K2047"/>
  <c r="J2047"/>
  <c r="X2044"/>
  <c r="M2044"/>
  <c r="N2044" s="1"/>
  <c r="L2043"/>
  <c r="K2043"/>
  <c r="X2042"/>
  <c r="Y2042" s="1"/>
  <c r="X2041"/>
  <c r="M2041"/>
  <c r="M2040"/>
  <c r="L2040"/>
  <c r="K2040"/>
  <c r="J2040"/>
  <c r="X2038"/>
  <c r="Y2038" s="1"/>
  <c r="X2037"/>
  <c r="M2037"/>
  <c r="L2036"/>
  <c r="K2036"/>
  <c r="X2035"/>
  <c r="Y2035" s="1"/>
  <c r="X2034"/>
  <c r="M2034"/>
  <c r="N2034"/>
  <c r="L2033"/>
  <c r="K2033"/>
  <c r="J2033"/>
  <c r="X2032"/>
  <c r="M2032"/>
  <c r="M2031"/>
  <c r="L2031"/>
  <c r="K2031"/>
  <c r="J2031"/>
  <c r="X2029"/>
  <c r="Y2029" s="1"/>
  <c r="X2028"/>
  <c r="M2028"/>
  <c r="X2027"/>
  <c r="M2027"/>
  <c r="L2026"/>
  <c r="K2026"/>
  <c r="J2026"/>
  <c r="X2025"/>
  <c r="Y2025"/>
  <c r="X2024"/>
  <c r="M2024"/>
  <c r="N2024" s="1"/>
  <c r="L2023"/>
  <c r="K2023"/>
  <c r="J2023"/>
  <c r="X2021"/>
  <c r="Y2021"/>
  <c r="X2020"/>
  <c r="M2020"/>
  <c r="M2019" s="1"/>
  <c r="M2018" s="1"/>
  <c r="R2020"/>
  <c r="R2019"/>
  <c r="R2018" s="1"/>
  <c r="Q2020"/>
  <c r="Q2019"/>
  <c r="Q2018"/>
  <c r="L2019"/>
  <c r="L2018"/>
  <c r="K2019"/>
  <c r="K2018"/>
  <c r="X2017"/>
  <c r="Y2017"/>
  <c r="X2016"/>
  <c r="M2016"/>
  <c r="M2005"/>
  <c r="M2006"/>
  <c r="M2008"/>
  <c r="M2009"/>
  <c r="M2010"/>
  <c r="M2013"/>
  <c r="M2012" s="1"/>
  <c r="L2015"/>
  <c r="K2015"/>
  <c r="J2015"/>
  <c r="X2014"/>
  <c r="Y2014"/>
  <c r="X2013"/>
  <c r="L2012"/>
  <c r="L2004"/>
  <c r="L2007"/>
  <c r="K2012"/>
  <c r="J2012"/>
  <c r="X2011"/>
  <c r="Y2011"/>
  <c r="X2010"/>
  <c r="X2009"/>
  <c r="X2008"/>
  <c r="K2007"/>
  <c r="J2007"/>
  <c r="X2006"/>
  <c r="X2005"/>
  <c r="K2004"/>
  <c r="J2004"/>
  <c r="X2002"/>
  <c r="Y2002" s="1"/>
  <c r="X2001"/>
  <c r="M2001"/>
  <c r="M2000"/>
  <c r="L2000"/>
  <c r="K2000"/>
  <c r="J2000"/>
  <c r="X1999"/>
  <c r="Y1999" s="1"/>
  <c r="X1998"/>
  <c r="M1998"/>
  <c r="M1997"/>
  <c r="R1998"/>
  <c r="R1997"/>
  <c r="Q1998"/>
  <c r="Q1997"/>
  <c r="L1997"/>
  <c r="K1997"/>
  <c r="J1997"/>
  <c r="X1996"/>
  <c r="Y1996" s="1"/>
  <c r="X1995"/>
  <c r="M1995"/>
  <c r="M1994"/>
  <c r="R1995"/>
  <c r="R1994"/>
  <c r="L1994"/>
  <c r="K1994"/>
  <c r="J1994"/>
  <c r="X1993"/>
  <c r="Y1993" s="1"/>
  <c r="X1992"/>
  <c r="M1992"/>
  <c r="N1992"/>
  <c r="J1991"/>
  <c r="K1991"/>
  <c r="L1991"/>
  <c r="X1990"/>
  <c r="Y1990" s="1"/>
  <c r="X1989"/>
  <c r="M1989"/>
  <c r="X1988"/>
  <c r="R1988"/>
  <c r="R1987"/>
  <c r="Q1988"/>
  <c r="Q1987"/>
  <c r="M1988"/>
  <c r="L1987"/>
  <c r="J1987"/>
  <c r="K1987"/>
  <c r="X1986"/>
  <c r="Y1986"/>
  <c r="X1985"/>
  <c r="M1985"/>
  <c r="L1984"/>
  <c r="K1984"/>
  <c r="J1984"/>
  <c r="X1982"/>
  <c r="Y1982" s="1"/>
  <c r="X1981"/>
  <c r="M1981"/>
  <c r="N1981"/>
  <c r="L1980"/>
  <c r="L1979"/>
  <c r="K1980"/>
  <c r="K1979"/>
  <c r="J1980"/>
  <c r="J1979"/>
  <c r="X1978"/>
  <c r="Y1978"/>
  <c r="X1977"/>
  <c r="M1977"/>
  <c r="M1976" s="1"/>
  <c r="L1976"/>
  <c r="K1976"/>
  <c r="J1976"/>
  <c r="X1975"/>
  <c r="Y1975"/>
  <c r="X1974"/>
  <c r="M1974"/>
  <c r="M1973" s="1"/>
  <c r="L1973"/>
  <c r="K1973"/>
  <c r="J1973"/>
  <c r="X1971"/>
  <c r="Y1971"/>
  <c r="X1970"/>
  <c r="M1970"/>
  <c r="N1970" s="1"/>
  <c r="L1969"/>
  <c r="K1969"/>
  <c r="J1969"/>
  <c r="X1968"/>
  <c r="Y1968"/>
  <c r="X1967"/>
  <c r="M1967"/>
  <c r="N1967" s="1"/>
  <c r="L1966"/>
  <c r="K1966"/>
  <c r="J1966"/>
  <c r="X1965"/>
  <c r="Y1965"/>
  <c r="X1964"/>
  <c r="M1964"/>
  <c r="X1963"/>
  <c r="M1963"/>
  <c r="X1962"/>
  <c r="M1962"/>
  <c r="X1961"/>
  <c r="M1961"/>
  <c r="X1960"/>
  <c r="Y1960"/>
  <c r="X1959"/>
  <c r="M1959"/>
  <c r="X1958"/>
  <c r="M1958"/>
  <c r="X1957"/>
  <c r="M1957"/>
  <c r="X1956"/>
  <c r="M1956"/>
  <c r="X1955"/>
  <c r="M1955"/>
  <c r="X1954"/>
  <c r="M1954"/>
  <c r="X1953"/>
  <c r="M1953"/>
  <c r="X1952"/>
  <c r="M1952"/>
  <c r="X1951"/>
  <c r="M1951"/>
  <c r="X1950"/>
  <c r="M1950"/>
  <c r="X1949"/>
  <c r="M1949"/>
  <c r="X1948"/>
  <c r="M1948"/>
  <c r="X1947"/>
  <c r="M1947"/>
  <c r="X1946"/>
  <c r="M1946"/>
  <c r="L1945"/>
  <c r="K1945"/>
  <c r="J1945"/>
  <c r="X1942"/>
  <c r="Y1942" s="1"/>
  <c r="X1941"/>
  <c r="M1941"/>
  <c r="L1940"/>
  <c r="K1940"/>
  <c r="J1940"/>
  <c r="X1939"/>
  <c r="Y1939"/>
  <c r="X1938"/>
  <c r="M1938"/>
  <c r="M1937" s="1"/>
  <c r="L1937"/>
  <c r="K1937"/>
  <c r="J1937"/>
  <c r="X1936"/>
  <c r="Y1936"/>
  <c r="X1935"/>
  <c r="M1935"/>
  <c r="X1934"/>
  <c r="Y1934"/>
  <c r="X1933"/>
  <c r="M1933"/>
  <c r="M1932"/>
  <c r="X1932"/>
  <c r="L1931"/>
  <c r="K1931"/>
  <c r="J1931"/>
  <c r="X1927"/>
  <c r="Y1927" s="1"/>
  <c r="X1926"/>
  <c r="M1926"/>
  <c r="X1925"/>
  <c r="M1925"/>
  <c r="X1924"/>
  <c r="M1924"/>
  <c r="X1923"/>
  <c r="M1923"/>
  <c r="X1922"/>
  <c r="M1922"/>
  <c r="X1921"/>
  <c r="M1921"/>
  <c r="X1920"/>
  <c r="M1920"/>
  <c r="X1919"/>
  <c r="M1919"/>
  <c r="L1918"/>
  <c r="K1918"/>
  <c r="J1918"/>
  <c r="X1916"/>
  <c r="Y1916"/>
  <c r="X1915"/>
  <c r="R1915"/>
  <c r="M1915"/>
  <c r="X1914"/>
  <c r="M1914"/>
  <c r="X1913"/>
  <c r="M1913"/>
  <c r="X1912"/>
  <c r="M1912"/>
  <c r="X1911"/>
  <c r="M1911"/>
  <c r="X1910"/>
  <c r="M1910"/>
  <c r="X1909"/>
  <c r="M1909"/>
  <c r="X1908"/>
  <c r="M1908"/>
  <c r="X1907"/>
  <c r="M1907"/>
  <c r="X1906"/>
  <c r="M1906"/>
  <c r="X1905"/>
  <c r="M1905"/>
  <c r="X1904"/>
  <c r="M1904"/>
  <c r="X1903"/>
  <c r="M1903"/>
  <c r="Q1903"/>
  <c r="X1902"/>
  <c r="R1902"/>
  <c r="R1887"/>
  <c r="Q1902"/>
  <c r="M1902"/>
  <c r="X1901"/>
  <c r="M1901"/>
  <c r="X1900"/>
  <c r="M1900"/>
  <c r="X1899"/>
  <c r="M1899"/>
  <c r="X1898"/>
  <c r="M1898"/>
  <c r="X1897"/>
  <c r="M1897"/>
  <c r="X1896"/>
  <c r="M1896"/>
  <c r="X1895"/>
  <c r="M1895"/>
  <c r="X1894"/>
  <c r="M1894"/>
  <c r="X1893"/>
  <c r="M1893"/>
  <c r="X1892"/>
  <c r="M1892"/>
  <c r="X1891"/>
  <c r="M1891"/>
  <c r="X1890"/>
  <c r="M1890"/>
  <c r="X1889"/>
  <c r="M1889"/>
  <c r="X1888"/>
  <c r="Y1888" s="1"/>
  <c r="L1887"/>
  <c r="K1887"/>
  <c r="J1887"/>
  <c r="X1886"/>
  <c r="Y1886"/>
  <c r="X1885"/>
  <c r="M1885"/>
  <c r="Q1885"/>
  <c r="Q1884"/>
  <c r="Q1883" s="1"/>
  <c r="L1884"/>
  <c r="L1883" s="1"/>
  <c r="K1884"/>
  <c r="K1883" s="1"/>
  <c r="J1884"/>
  <c r="J1883" s="1"/>
  <c r="X1882"/>
  <c r="Y1882" s="1"/>
  <c r="X1881"/>
  <c r="M1881"/>
  <c r="X1880"/>
  <c r="M1880"/>
  <c r="X1879"/>
  <c r="M1879"/>
  <c r="X1878"/>
  <c r="M1878"/>
  <c r="X1877"/>
  <c r="M1877"/>
  <c r="X1876"/>
  <c r="M1876"/>
  <c r="X1875"/>
  <c r="M1875"/>
  <c r="X1874"/>
  <c r="M1874"/>
  <c r="J1873"/>
  <c r="K1873"/>
  <c r="L1873"/>
  <c r="X1872"/>
  <c r="Y1872"/>
  <c r="X1708"/>
  <c r="Y1708"/>
  <c r="X1707"/>
  <c r="M1707"/>
  <c r="M1706" s="1"/>
  <c r="L1706"/>
  <c r="L1705" s="1"/>
  <c r="J1706"/>
  <c r="K1706"/>
  <c r="K1705"/>
  <c r="X1704"/>
  <c r="Y1704"/>
  <c r="X1703"/>
  <c r="M1703"/>
  <c r="X1702"/>
  <c r="M1702"/>
  <c r="X1701"/>
  <c r="M1701"/>
  <c r="X1700"/>
  <c r="M1700"/>
  <c r="N1700" s="1"/>
  <c r="X1699"/>
  <c r="M1699"/>
  <c r="N1699"/>
  <c r="X1698"/>
  <c r="M1698"/>
  <c r="N1698" s="1"/>
  <c r="X1697"/>
  <c r="M1697"/>
  <c r="N1697"/>
  <c r="X1696"/>
  <c r="M1696"/>
  <c r="N1696" s="1"/>
  <c r="X1695"/>
  <c r="Y1695" s="1"/>
  <c r="X1694"/>
  <c r="M1694"/>
  <c r="X1693"/>
  <c r="M1693"/>
  <c r="X1692"/>
  <c r="M1692"/>
  <c r="X1691"/>
  <c r="M1691"/>
  <c r="L1690"/>
  <c r="L1689" s="1"/>
  <c r="K1690"/>
  <c r="K1689" s="1"/>
  <c r="J1690"/>
  <c r="J1689" s="1"/>
  <c r="X1688"/>
  <c r="Y1688" s="1"/>
  <c r="X1687"/>
  <c r="M1687"/>
  <c r="N1687"/>
  <c r="X1686"/>
  <c r="Y1686"/>
  <c r="L1685"/>
  <c r="K1685"/>
  <c r="J1685"/>
  <c r="X1684"/>
  <c r="Y1684" s="1"/>
  <c r="X1683"/>
  <c r="M1683"/>
  <c r="L1682"/>
  <c r="K1682"/>
  <c r="J1682"/>
  <c r="X1673"/>
  <c r="M1673"/>
  <c r="N1673" s="1"/>
  <c r="X1672"/>
  <c r="M1672"/>
  <c r="N1672"/>
  <c r="X1671"/>
  <c r="M1671"/>
  <c r="N1671" s="1"/>
  <c r="X1670"/>
  <c r="M1670"/>
  <c r="N1670"/>
  <c r="X1669"/>
  <c r="M1669"/>
  <c r="N1669" s="1"/>
  <c r="X1668"/>
  <c r="M1668"/>
  <c r="N1668"/>
  <c r="X1667"/>
  <c r="M1667"/>
  <c r="N1667" s="1"/>
  <c r="X1666"/>
  <c r="Y1666" s="1"/>
  <c r="X1665"/>
  <c r="Y1665" s="1"/>
  <c r="X1664"/>
  <c r="M1664"/>
  <c r="X1663"/>
  <c r="M1663"/>
  <c r="X1662"/>
  <c r="Y1662" s="1"/>
  <c r="X1661"/>
  <c r="M1661"/>
  <c r="X1660"/>
  <c r="Y1660" s="1"/>
  <c r="X1659"/>
  <c r="M1659"/>
  <c r="X1658"/>
  <c r="M1658"/>
  <c r="X1657"/>
  <c r="M1657"/>
  <c r="X1656"/>
  <c r="M1656"/>
  <c r="X1655"/>
  <c r="M1655"/>
  <c r="X1654"/>
  <c r="M1654"/>
  <c r="X1653"/>
  <c r="M1653"/>
  <c r="X1652"/>
  <c r="R1652"/>
  <c r="Q1652"/>
  <c r="M1652"/>
  <c r="X1651"/>
  <c r="Y1651" s="1"/>
  <c r="X1650"/>
  <c r="M1650"/>
  <c r="X1649"/>
  <c r="M1649"/>
  <c r="X1648"/>
  <c r="M1648"/>
  <c r="X1647"/>
  <c r="Y1647" s="1"/>
  <c r="X1646"/>
  <c r="M1646"/>
  <c r="X1645"/>
  <c r="M1645"/>
  <c r="X1644"/>
  <c r="M1644"/>
  <c r="X1643"/>
  <c r="M1643"/>
  <c r="X1642"/>
  <c r="M1642"/>
  <c r="X1641"/>
  <c r="M1641"/>
  <c r="X1640"/>
  <c r="R1640"/>
  <c r="Q1640"/>
  <c r="M1640"/>
  <c r="X1639"/>
  <c r="Y1639" s="1"/>
  <c r="X1638"/>
  <c r="M1638"/>
  <c r="X1637"/>
  <c r="M1637"/>
  <c r="X1636"/>
  <c r="Y1636" s="1"/>
  <c r="X1635"/>
  <c r="M1635"/>
  <c r="N1635"/>
  <c r="X1634"/>
  <c r="M1634"/>
  <c r="X1633"/>
  <c r="Q1633"/>
  <c r="M1633"/>
  <c r="N1633"/>
  <c r="X1632"/>
  <c r="M1632"/>
  <c r="N1632" s="1"/>
  <c r="R1632"/>
  <c r="Q1632"/>
  <c r="X1631"/>
  <c r="Y1631" s="1"/>
  <c r="X1630"/>
  <c r="M1630"/>
  <c r="X1629"/>
  <c r="M1629"/>
  <c r="X1628"/>
  <c r="M1628"/>
  <c r="X1627"/>
  <c r="M1627"/>
  <c r="X1626"/>
  <c r="Y1626" s="1"/>
  <c r="X1625"/>
  <c r="M1625"/>
  <c r="X1624"/>
  <c r="M1624"/>
  <c r="X1623"/>
  <c r="M1623"/>
  <c r="X1622"/>
  <c r="M1622"/>
  <c r="X1621"/>
  <c r="Y1621" s="1"/>
  <c r="X1620"/>
  <c r="M1620"/>
  <c r="X1619"/>
  <c r="M1619"/>
  <c r="X1618"/>
  <c r="M1618"/>
  <c r="X1617"/>
  <c r="M1617"/>
  <c r="X1616"/>
  <c r="M1616"/>
  <c r="X1615"/>
  <c r="M1615"/>
  <c r="X1614"/>
  <c r="M1614"/>
  <c r="X1613"/>
  <c r="Y1613" s="1"/>
  <c r="X1612"/>
  <c r="R1612"/>
  <c r="M1612"/>
  <c r="X1611"/>
  <c r="M1611"/>
  <c r="X1610"/>
  <c r="M1610"/>
  <c r="X1609"/>
  <c r="M1609"/>
  <c r="X1608"/>
  <c r="M1608"/>
  <c r="X1607"/>
  <c r="Y1607"/>
  <c r="X1606"/>
  <c r="M1606"/>
  <c r="N1606" s="1"/>
  <c r="X1605"/>
  <c r="Y1605" s="1"/>
  <c r="X1604"/>
  <c r="Y1604" s="1"/>
  <c r="X1603"/>
  <c r="M1603"/>
  <c r="X1602"/>
  <c r="M1602"/>
  <c r="X1601"/>
  <c r="M1601"/>
  <c r="X1600"/>
  <c r="Y1600" s="1"/>
  <c r="X1599"/>
  <c r="M1599"/>
  <c r="X1598"/>
  <c r="Y1598" s="1"/>
  <c r="X1597"/>
  <c r="Y1597" s="1"/>
  <c r="X1596"/>
  <c r="M1596"/>
  <c r="X1595"/>
  <c r="M1595"/>
  <c r="X1594"/>
  <c r="M1594"/>
  <c r="X1593"/>
  <c r="M1593"/>
  <c r="X1592"/>
  <c r="Y1592" s="1"/>
  <c r="X1591"/>
  <c r="M1591"/>
  <c r="X1590"/>
  <c r="M1590"/>
  <c r="X1589"/>
  <c r="Y1589" s="1"/>
  <c r="X1588"/>
  <c r="M1588"/>
  <c r="X1587"/>
  <c r="M1587"/>
  <c r="X1586"/>
  <c r="Y1586" s="1"/>
  <c r="X1585"/>
  <c r="M1585"/>
  <c r="X1584"/>
  <c r="M1584"/>
  <c r="N1584"/>
  <c r="X1583"/>
  <c r="Y1583"/>
  <c r="X1582"/>
  <c r="Y1582"/>
  <c r="X1581"/>
  <c r="M1581"/>
  <c r="X1580"/>
  <c r="M1580"/>
  <c r="X1579"/>
  <c r="Y1579"/>
  <c r="X1577"/>
  <c r="Y1577"/>
  <c r="X1576"/>
  <c r="M1576"/>
  <c r="N1576" s="1"/>
  <c r="L1575"/>
  <c r="K1575"/>
  <c r="J1575"/>
  <c r="X1574"/>
  <c r="Y1574"/>
  <c r="X1573"/>
  <c r="M1573"/>
  <c r="X1572"/>
  <c r="Y1572"/>
  <c r="X1571"/>
  <c r="M1571"/>
  <c r="L1570"/>
  <c r="K1570"/>
  <c r="J1570"/>
  <c r="X1569"/>
  <c r="Y1569" s="1"/>
  <c r="X356"/>
  <c r="M356"/>
  <c r="M355"/>
  <c r="X1568"/>
  <c r="M1568"/>
  <c r="M1567" s="1"/>
  <c r="L1567"/>
  <c r="K1567"/>
  <c r="J1567"/>
  <c r="X1565"/>
  <c r="Y1565"/>
  <c r="X1564"/>
  <c r="M1564"/>
  <c r="N1564" s="1"/>
  <c r="X1563"/>
  <c r="M1563"/>
  <c r="N1563"/>
  <c r="X1562"/>
  <c r="M1562"/>
  <c r="N1562" s="1"/>
  <c r="X1561"/>
  <c r="R1561"/>
  <c r="R1557"/>
  <c r="R1556" s="1"/>
  <c r="M1561"/>
  <c r="X1560"/>
  <c r="Y1560"/>
  <c r="X1559"/>
  <c r="M1559"/>
  <c r="X1558"/>
  <c r="M1558"/>
  <c r="L1557"/>
  <c r="L1556"/>
  <c r="K1557"/>
  <c r="K1556"/>
  <c r="J1557"/>
  <c r="J1556"/>
  <c r="X1555"/>
  <c r="Y1555"/>
  <c r="X418"/>
  <c r="M418"/>
  <c r="M417" s="1"/>
  <c r="X1554"/>
  <c r="M1554"/>
  <c r="X1553"/>
  <c r="M1553"/>
  <c r="X1552"/>
  <c r="M1552"/>
  <c r="X1551"/>
  <c r="M1551"/>
  <c r="X1550"/>
  <c r="M1550"/>
  <c r="X1549"/>
  <c r="M1549"/>
  <c r="X1548"/>
  <c r="M1548"/>
  <c r="X1545"/>
  <c r="Y1545" s="1"/>
  <c r="X1542"/>
  <c r="M1542"/>
  <c r="X1541"/>
  <c r="Y1541" s="1"/>
  <c r="X1538"/>
  <c r="M1538"/>
  <c r="X1537"/>
  <c r="Y1537" s="1"/>
  <c r="X1534"/>
  <c r="M1534"/>
  <c r="X1533"/>
  <c r="Y1533" s="1"/>
  <c r="X1532"/>
  <c r="M1532"/>
  <c r="X1531"/>
  <c r="Y1531" s="1"/>
  <c r="X1530"/>
  <c r="M1530"/>
  <c r="X1529"/>
  <c r="Y1529" s="1"/>
  <c r="X1528"/>
  <c r="M1528"/>
  <c r="X1527"/>
  <c r="Y1527" s="1"/>
  <c r="X1526"/>
  <c r="M1526"/>
  <c r="X1525"/>
  <c r="Y1525" s="1"/>
  <c r="X1524"/>
  <c r="M1524"/>
  <c r="X1523"/>
  <c r="Y1523" s="1"/>
  <c r="X1522"/>
  <c r="M1522"/>
  <c r="X1521"/>
  <c r="Y1521" s="1"/>
  <c r="J1520"/>
  <c r="X1871"/>
  <c r="Y1871"/>
  <c r="X1870"/>
  <c r="M1870"/>
  <c r="X1869"/>
  <c r="M1869"/>
  <c r="X1868"/>
  <c r="M1868"/>
  <c r="X1867"/>
  <c r="M1867"/>
  <c r="X1866"/>
  <c r="M1866"/>
  <c r="X1865"/>
  <c r="M1865"/>
  <c r="X1864"/>
  <c r="M1864"/>
  <c r="X1863"/>
  <c r="M1863"/>
  <c r="X1862"/>
  <c r="M1862"/>
  <c r="X1861"/>
  <c r="M1861"/>
  <c r="X1860"/>
  <c r="M1860"/>
  <c r="X1859"/>
  <c r="M1859"/>
  <c r="X1858"/>
  <c r="M1858"/>
  <c r="X1857"/>
  <c r="M1857"/>
  <c r="X1856"/>
  <c r="M1856"/>
  <c r="X1855"/>
  <c r="M1855"/>
  <c r="X1854"/>
  <c r="M1854"/>
  <c r="X1853"/>
  <c r="M1853"/>
  <c r="X1852"/>
  <c r="M1852"/>
  <c r="X1851"/>
  <c r="M1851"/>
  <c r="X1850"/>
  <c r="M1850"/>
  <c r="X1849"/>
  <c r="M1849"/>
  <c r="X1848"/>
  <c r="M1848"/>
  <c r="X1847"/>
  <c r="M1847"/>
  <c r="X1846"/>
  <c r="M1846"/>
  <c r="X1845"/>
  <c r="M1845"/>
  <c r="X1844"/>
  <c r="M1844"/>
  <c r="X1843"/>
  <c r="M1843"/>
  <c r="L1842"/>
  <c r="L1714"/>
  <c r="K1842"/>
  <c r="J1842"/>
  <c r="J1714" s="1"/>
  <c r="X1841"/>
  <c r="Y1841" s="1"/>
  <c r="X1840"/>
  <c r="M1840"/>
  <c r="X1839"/>
  <c r="M1839"/>
  <c r="X1838"/>
  <c r="M1838"/>
  <c r="X1837"/>
  <c r="M1837"/>
  <c r="X1836"/>
  <c r="M1836"/>
  <c r="X1835"/>
  <c r="M1835"/>
  <c r="X1834"/>
  <c r="M1834"/>
  <c r="X1833"/>
  <c r="M1833"/>
  <c r="X1832"/>
  <c r="M1832"/>
  <c r="X1831"/>
  <c r="M1831"/>
  <c r="X1830"/>
  <c r="M1830"/>
  <c r="X1829"/>
  <c r="M1829"/>
  <c r="X1828"/>
  <c r="M1828"/>
  <c r="X1827"/>
  <c r="M1827"/>
  <c r="X1826"/>
  <c r="M1826"/>
  <c r="X1825"/>
  <c r="M1825"/>
  <c r="X1824"/>
  <c r="M1824"/>
  <c r="X1823"/>
  <c r="M1823"/>
  <c r="X1822"/>
  <c r="M1822"/>
  <c r="X1821"/>
  <c r="M1821"/>
  <c r="X1820"/>
  <c r="M1820"/>
  <c r="X1819"/>
  <c r="M1819"/>
  <c r="X1818"/>
  <c r="M1818"/>
  <c r="X1817"/>
  <c r="M1817"/>
  <c r="X1816"/>
  <c r="M1816"/>
  <c r="X1815"/>
  <c r="M1815"/>
  <c r="X1814"/>
  <c r="M1814"/>
  <c r="X1813"/>
  <c r="M1813"/>
  <c r="X1812"/>
  <c r="M1812"/>
  <c r="X1811"/>
  <c r="M1811"/>
  <c r="X1810"/>
  <c r="M1810"/>
  <c r="X1809"/>
  <c r="M1809"/>
  <c r="X1808"/>
  <c r="M1808"/>
  <c r="X1807"/>
  <c r="M1807"/>
  <c r="X1806"/>
  <c r="M1806"/>
  <c r="X1805"/>
  <c r="M1805"/>
  <c r="X1804"/>
  <c r="M1804"/>
  <c r="X1803"/>
  <c r="M1803"/>
  <c r="X1802"/>
  <c r="M1802"/>
  <c r="X1801"/>
  <c r="M1801"/>
  <c r="X1800"/>
  <c r="M1800"/>
  <c r="X1799"/>
  <c r="M1799"/>
  <c r="X1798"/>
  <c r="M1798"/>
  <c r="X1797"/>
  <c r="M1797"/>
  <c r="X1796"/>
  <c r="M1796"/>
  <c r="X1795"/>
  <c r="M1795"/>
  <c r="X1794"/>
  <c r="M1794"/>
  <c r="X1793"/>
  <c r="M1793"/>
  <c r="X1792"/>
  <c r="M1792"/>
  <c r="X1791"/>
  <c r="M1791"/>
  <c r="X1790"/>
  <c r="M1790"/>
  <c r="X1789"/>
  <c r="M1789"/>
  <c r="X1788"/>
  <c r="M1788"/>
  <c r="X1787"/>
  <c r="M1787"/>
  <c r="X1786"/>
  <c r="M1786"/>
  <c r="X1785"/>
  <c r="M1785"/>
  <c r="X1784"/>
  <c r="M1784"/>
  <c r="X1783"/>
  <c r="M1783"/>
  <c r="X1782"/>
  <c r="M1782"/>
  <c r="X1781"/>
  <c r="M1781"/>
  <c r="X1780"/>
  <c r="M1780"/>
  <c r="X1779"/>
  <c r="M1779"/>
  <c r="X1778"/>
  <c r="M1778"/>
  <c r="X1777"/>
  <c r="M1777"/>
  <c r="X1776"/>
  <c r="M1776"/>
  <c r="X1775"/>
  <c r="M1775"/>
  <c r="X1774"/>
  <c r="M1774"/>
  <c r="X1773"/>
  <c r="M1773"/>
  <c r="X1772"/>
  <c r="M1772"/>
  <c r="X1771"/>
  <c r="M1771"/>
  <c r="X1770"/>
  <c r="M1770"/>
  <c r="X1769"/>
  <c r="M1769"/>
  <c r="X1768"/>
  <c r="M1768"/>
  <c r="X1767"/>
  <c r="M1767"/>
  <c r="X1766"/>
  <c r="M1766"/>
  <c r="X1765"/>
  <c r="M1765"/>
  <c r="X1764"/>
  <c r="M1764"/>
  <c r="X1763"/>
  <c r="M1763"/>
  <c r="X1762"/>
  <c r="M1762"/>
  <c r="X1761"/>
  <c r="M1761"/>
  <c r="X1760"/>
  <c r="M1760"/>
  <c r="X1759"/>
  <c r="M1759"/>
  <c r="X1758"/>
  <c r="M1758"/>
  <c r="X1757"/>
  <c r="M1757"/>
  <c r="X1756"/>
  <c r="M1756"/>
  <c r="X1755"/>
  <c r="M1755"/>
  <c r="X1754"/>
  <c r="M1754"/>
  <c r="X1753"/>
  <c r="M1753"/>
  <c r="X1752"/>
  <c r="M1752"/>
  <c r="X1751"/>
  <c r="M1751"/>
  <c r="X1750"/>
  <c r="M1750"/>
  <c r="X1749"/>
  <c r="M1749"/>
  <c r="X1748"/>
  <c r="M1748"/>
  <c r="X1747"/>
  <c r="M1747"/>
  <c r="X1746"/>
  <c r="M1746"/>
  <c r="X1745"/>
  <c r="M1745"/>
  <c r="X1744"/>
  <c r="M1744"/>
  <c r="X1743"/>
  <c r="M1743"/>
  <c r="X1742"/>
  <c r="M1742"/>
  <c r="X1741"/>
  <c r="M1741"/>
  <c r="X1740"/>
  <c r="M1740"/>
  <c r="X1739"/>
  <c r="M1739"/>
  <c r="X1738"/>
  <c r="M1738"/>
  <c r="X1737"/>
  <c r="M1737"/>
  <c r="X1736"/>
  <c r="M1736"/>
  <c r="X1735"/>
  <c r="M1735"/>
  <c r="X1734"/>
  <c r="M1734"/>
  <c r="X1733"/>
  <c r="M1733"/>
  <c r="X1732"/>
  <c r="M1732"/>
  <c r="X1731"/>
  <c r="M1731"/>
  <c r="X1730"/>
  <c r="M1730"/>
  <c r="X1729"/>
  <c r="M1729"/>
  <c r="X1728"/>
  <c r="M1728"/>
  <c r="X1727"/>
  <c r="M1727"/>
  <c r="X1726"/>
  <c r="M1726"/>
  <c r="X1725"/>
  <c r="M1725"/>
  <c r="X1724"/>
  <c r="M1724"/>
  <c r="X1723"/>
  <c r="M1723"/>
  <c r="X1722"/>
  <c r="M1722"/>
  <c r="X1721"/>
  <c r="M1721"/>
  <c r="X1720"/>
  <c r="M1720"/>
  <c r="X1719"/>
  <c r="M1719"/>
  <c r="X1718"/>
  <c r="M1718"/>
  <c r="X1717"/>
  <c r="M1717"/>
  <c r="X1716"/>
  <c r="M1716"/>
  <c r="X1715"/>
  <c r="M1715"/>
  <c r="X1713"/>
  <c r="Y1713" s="1"/>
  <c r="M1679"/>
  <c r="M1678"/>
  <c r="M1677"/>
  <c r="M1676"/>
  <c r="M1675"/>
  <c r="M1674"/>
  <c r="N1519"/>
  <c r="X1518"/>
  <c r="Y1518"/>
  <c r="X2885"/>
  <c r="Y2885"/>
  <c r="X2882"/>
  <c r="M2882"/>
  <c r="M2881" s="1"/>
  <c r="Y2881" s="1"/>
  <c r="L2881"/>
  <c r="K2881"/>
  <c r="J2881"/>
  <c r="X415"/>
  <c r="Y415"/>
  <c r="X414"/>
  <c r="M414"/>
  <c r="X413"/>
  <c r="M413"/>
  <c r="X412"/>
  <c r="Y412"/>
  <c r="L411"/>
  <c r="K411"/>
  <c r="J411"/>
  <c r="X410"/>
  <c r="Y410" s="1"/>
  <c r="X409"/>
  <c r="M409"/>
  <c r="X408"/>
  <c r="Y408" s="1"/>
  <c r="X407"/>
  <c r="Q407"/>
  <c r="M407"/>
  <c r="X406"/>
  <c r="Y406"/>
  <c r="X405"/>
  <c r="Y405"/>
  <c r="X404"/>
  <c r="Y404"/>
  <c r="X403"/>
  <c r="Y403"/>
  <c r="X402"/>
  <c r="Y402"/>
  <c r="X398"/>
  <c r="M398"/>
  <c r="X401"/>
  <c r="Y401"/>
  <c r="X400"/>
  <c r="Y400"/>
  <c r="X399"/>
  <c r="Y399"/>
  <c r="X397"/>
  <c r="M397"/>
  <c r="R396"/>
  <c r="Q397"/>
  <c r="Q396"/>
  <c r="L396"/>
  <c r="K396"/>
  <c r="J396"/>
  <c r="X395"/>
  <c r="Y395"/>
  <c r="X394"/>
  <c r="M394"/>
  <c r="R394"/>
  <c r="Q394"/>
  <c r="N394"/>
  <c r="X393"/>
  <c r="Y393" s="1"/>
  <c r="X392"/>
  <c r="M392"/>
  <c r="N392"/>
  <c r="X391"/>
  <c r="M391"/>
  <c r="N391" s="1"/>
  <c r="X390"/>
  <c r="Q390"/>
  <c r="Q388"/>
  <c r="M390"/>
  <c r="X389"/>
  <c r="Y389" s="1"/>
  <c r="J388"/>
  <c r="X387"/>
  <c r="Y387"/>
  <c r="X386"/>
  <c r="M386"/>
  <c r="M385" s="1"/>
  <c r="Y385" s="1"/>
  <c r="L385"/>
  <c r="K385"/>
  <c r="J385"/>
  <c r="X384"/>
  <c r="M384"/>
  <c r="L383"/>
  <c r="K383"/>
  <c r="J383"/>
  <c r="X382"/>
  <c r="Y382" s="1"/>
  <c r="X381"/>
  <c r="M381"/>
  <c r="N381"/>
  <c r="X380"/>
  <c r="M380"/>
  <c r="N380" s="1"/>
  <c r="L379"/>
  <c r="K379"/>
  <c r="J379"/>
  <c r="X378"/>
  <c r="Y378"/>
  <c r="X377"/>
  <c r="M377"/>
  <c r="R377"/>
  <c r="R376"/>
  <c r="Q377"/>
  <c r="Q376"/>
  <c r="Q363" s="1"/>
  <c r="Q340" s="1"/>
  <c r="L376"/>
  <c r="K376"/>
  <c r="J376"/>
  <c r="X375"/>
  <c r="Y375"/>
  <c r="X374"/>
  <c r="Y374"/>
  <c r="X373"/>
  <c r="R373"/>
  <c r="R372"/>
  <c r="M373"/>
  <c r="N373" s="1"/>
  <c r="L372"/>
  <c r="K372"/>
  <c r="J372"/>
  <c r="X371"/>
  <c r="Y371"/>
  <c r="X370"/>
  <c r="M370"/>
  <c r="X369"/>
  <c r="Y369"/>
  <c r="X368"/>
  <c r="M368"/>
  <c r="M366"/>
  <c r="X367"/>
  <c r="Y367" s="1"/>
  <c r="X366"/>
  <c r="L365"/>
  <c r="L364"/>
  <c r="K365"/>
  <c r="K364"/>
  <c r="J365"/>
  <c r="J364"/>
  <c r="X362"/>
  <c r="Y362"/>
  <c r="X361"/>
  <c r="M361"/>
  <c r="X360"/>
  <c r="M360"/>
  <c r="X359"/>
  <c r="Y359"/>
  <c r="L358"/>
  <c r="K358"/>
  <c r="J358"/>
  <c r="X357"/>
  <c r="Y357" s="1"/>
  <c r="X353"/>
  <c r="M353"/>
  <c r="N353"/>
  <c r="L352"/>
  <c r="K352"/>
  <c r="J352"/>
  <c r="X351"/>
  <c r="Y351" s="1"/>
  <c r="X350"/>
  <c r="M350"/>
  <c r="X349"/>
  <c r="Y349" s="1"/>
  <c r="X348"/>
  <c r="M348"/>
  <c r="X346"/>
  <c r="X347"/>
  <c r="X345"/>
  <c r="M345"/>
  <c r="X344"/>
  <c r="Y344" s="1"/>
  <c r="X343"/>
  <c r="Y343" s="1"/>
  <c r="X339"/>
  <c r="Y339" s="1"/>
  <c r="X336"/>
  <c r="M336"/>
  <c r="M335"/>
  <c r="L335"/>
  <c r="K335"/>
  <c r="J335"/>
  <c r="X334"/>
  <c r="Y334" s="1"/>
  <c r="X333"/>
  <c r="M333"/>
  <c r="X332"/>
  <c r="M332"/>
  <c r="X331"/>
  <c r="Y331" s="1"/>
  <c r="L330"/>
  <c r="K330"/>
  <c r="J330"/>
  <c r="R313"/>
  <c r="Q313"/>
  <c r="R312"/>
  <c r="Q312"/>
  <c r="Q304"/>
  <c r="S301"/>
  <c r="R301"/>
  <c r="Q301"/>
  <c r="R298"/>
  <c r="Q298"/>
  <c r="S278"/>
  <c r="R278"/>
  <c r="Q278"/>
  <c r="R273"/>
  <c r="Q273"/>
  <c r="S264"/>
  <c r="S261"/>
  <c r="S252"/>
  <c r="S251"/>
  <c r="S250"/>
  <c r="Q248"/>
  <c r="Q247"/>
  <c r="S245"/>
  <c r="S243"/>
  <c r="Q242"/>
  <c r="Q240"/>
  <c r="Q239"/>
  <c r="Q236"/>
  <c r="S234"/>
  <c r="Q234"/>
  <c r="S230"/>
  <c r="R230"/>
  <c r="Q230"/>
  <c r="Q228"/>
  <c r="R227"/>
  <c r="Q227"/>
  <c r="Q226"/>
  <c r="Q224"/>
  <c r="Q222"/>
  <c r="S221"/>
  <c r="Q221"/>
  <c r="Q220"/>
  <c r="X217"/>
  <c r="M217"/>
  <c r="M216" s="1"/>
  <c r="Y216" s="1"/>
  <c r="L216"/>
  <c r="J216"/>
  <c r="K216"/>
  <c r="X214"/>
  <c r="Y214"/>
  <c r="X213"/>
  <c r="Y213"/>
  <c r="X212"/>
  <c r="Y212"/>
  <c r="X211"/>
  <c r="Y211"/>
  <c r="X210"/>
  <c r="Y210"/>
  <c r="X209"/>
  <c r="Y209"/>
  <c r="X208"/>
  <c r="Y208"/>
  <c r="X207"/>
  <c r="Y207"/>
  <c r="X206"/>
  <c r="Y206"/>
  <c r="X205"/>
  <c r="Y205"/>
  <c r="X204"/>
  <c r="Y204"/>
  <c r="X203"/>
  <c r="Y203"/>
  <c r="X202"/>
  <c r="Y202"/>
  <c r="X201"/>
  <c r="Y201"/>
  <c r="X200"/>
  <c r="Y200"/>
  <c r="X199"/>
  <c r="Y199"/>
  <c r="X198"/>
  <c r="Y198"/>
  <c r="X197"/>
  <c r="Y197"/>
  <c r="X196"/>
  <c r="Y196"/>
  <c r="X195"/>
  <c r="M195"/>
  <c r="R195"/>
  <c r="R191"/>
  <c r="X194"/>
  <c r="Y194"/>
  <c r="N194"/>
  <c r="X193"/>
  <c r="M193"/>
  <c r="X192"/>
  <c r="M192"/>
  <c r="L191"/>
  <c r="J191"/>
  <c r="X190"/>
  <c r="M190"/>
  <c r="X189"/>
  <c r="M189"/>
  <c r="X188"/>
  <c r="M188"/>
  <c r="X187"/>
  <c r="M187"/>
  <c r="X186"/>
  <c r="M186"/>
  <c r="X185"/>
  <c r="M185"/>
  <c r="X184"/>
  <c r="M184"/>
  <c r="X183"/>
  <c r="M183"/>
  <c r="X182"/>
  <c r="M182"/>
  <c r="X181"/>
  <c r="M181"/>
  <c r="X180"/>
  <c r="M180"/>
  <c r="X179"/>
  <c r="M179"/>
  <c r="X178"/>
  <c r="M178"/>
  <c r="X177"/>
  <c r="M177"/>
  <c r="X176"/>
  <c r="M176"/>
  <c r="X175"/>
  <c r="M175"/>
  <c r="X174"/>
  <c r="M174"/>
  <c r="X173"/>
  <c r="M173"/>
  <c r="X172"/>
  <c r="M172"/>
  <c r="X171"/>
  <c r="M171"/>
  <c r="X170"/>
  <c r="M170"/>
  <c r="X169"/>
  <c r="M169"/>
  <c r="X168"/>
  <c r="M168"/>
  <c r="X167"/>
  <c r="M167"/>
  <c r="X166"/>
  <c r="M166"/>
  <c r="X165"/>
  <c r="M165"/>
  <c r="X164"/>
  <c r="M164"/>
  <c r="X163"/>
  <c r="M163"/>
  <c r="X162"/>
  <c r="M162"/>
  <c r="X161"/>
  <c r="M161"/>
  <c r="X160"/>
  <c r="M160"/>
  <c r="X159"/>
  <c r="M159"/>
  <c r="X158"/>
  <c r="M158"/>
  <c r="X157"/>
  <c r="M157"/>
  <c r="X156"/>
  <c r="M156"/>
  <c r="X155"/>
  <c r="M155"/>
  <c r="X154"/>
  <c r="M154"/>
  <c r="X153"/>
  <c r="M153"/>
  <c r="X152"/>
  <c r="M152"/>
  <c r="X151"/>
  <c r="M151"/>
  <c r="X150"/>
  <c r="M150"/>
  <c r="X149"/>
  <c r="M149"/>
  <c r="X148"/>
  <c r="M148"/>
  <c r="X147"/>
  <c r="M147"/>
  <c r="X146"/>
  <c r="M146"/>
  <c r="X145"/>
  <c r="M145"/>
  <c r="X144"/>
  <c r="M144"/>
  <c r="X143"/>
  <c r="M143"/>
  <c r="X142"/>
  <c r="M142"/>
  <c r="X141"/>
  <c r="M141"/>
  <c r="X140"/>
  <c r="M140"/>
  <c r="X139"/>
  <c r="M139"/>
  <c r="X138"/>
  <c r="M138"/>
  <c r="X137"/>
  <c r="M137"/>
  <c r="X136"/>
  <c r="M136"/>
  <c r="X135"/>
  <c r="M135"/>
  <c r="X134"/>
  <c r="M134"/>
  <c r="X133"/>
  <c r="M133"/>
  <c r="X132"/>
  <c r="M132"/>
  <c r="X131"/>
  <c r="M131"/>
  <c r="X130"/>
  <c r="M130"/>
  <c r="X129"/>
  <c r="M129"/>
  <c r="X128"/>
  <c r="M128"/>
  <c r="L127"/>
  <c r="L121" s="1"/>
  <c r="X121" s="1"/>
  <c r="Y121" s="1"/>
  <c r="X126"/>
  <c r="M126"/>
  <c r="X125"/>
  <c r="M125"/>
  <c r="X124"/>
  <c r="M124"/>
  <c r="X123"/>
  <c r="M123"/>
  <c r="X122"/>
  <c r="Y122" s="1"/>
  <c r="K121"/>
  <c r="J121"/>
  <c r="X1929"/>
  <c r="M1929"/>
  <c r="X119"/>
  <c r="M119"/>
  <c r="M118"/>
  <c r="X118"/>
  <c r="X116"/>
  <c r="Y116" s="1"/>
  <c r="X115"/>
  <c r="Y115" s="1"/>
  <c r="X114"/>
  <c r="M114"/>
  <c r="Q114"/>
  <c r="Q113"/>
  <c r="L113"/>
  <c r="K113"/>
  <c r="J113"/>
  <c r="X111"/>
  <c r="Y111"/>
  <c r="X110"/>
  <c r="M110"/>
  <c r="X109"/>
  <c r="M109"/>
  <c r="N109" s="1"/>
  <c r="L108"/>
  <c r="L107" s="1"/>
  <c r="K108"/>
  <c r="K107" s="1"/>
  <c r="J108"/>
  <c r="X106"/>
  <c r="Y106"/>
  <c r="X105"/>
  <c r="M105"/>
  <c r="M104" s="1"/>
  <c r="L104"/>
  <c r="K104"/>
  <c r="J104"/>
  <c r="X103"/>
  <c r="Y103"/>
  <c r="X102"/>
  <c r="M102"/>
  <c r="M101" s="1"/>
  <c r="Y101" s="1"/>
  <c r="L101"/>
  <c r="K101"/>
  <c r="J101"/>
  <c r="X100"/>
  <c r="Y100"/>
  <c r="X99"/>
  <c r="Y99"/>
  <c r="X98"/>
  <c r="M98"/>
  <c r="X97"/>
  <c r="M97"/>
  <c r="N97" s="1"/>
  <c r="R96"/>
  <c r="Q97"/>
  <c r="Q96"/>
  <c r="J96"/>
  <c r="L96"/>
  <c r="X95"/>
  <c r="Y95"/>
  <c r="M94"/>
  <c r="M93"/>
  <c r="L93"/>
  <c r="K93"/>
  <c r="J93"/>
  <c r="X92"/>
  <c r="M92"/>
  <c r="X91"/>
  <c r="M91"/>
  <c r="L90"/>
  <c r="K90"/>
  <c r="J90"/>
  <c r="X86"/>
  <c r="Y86"/>
  <c r="X85"/>
  <c r="M85"/>
  <c r="M84" s="1"/>
  <c r="R85"/>
  <c r="R84"/>
  <c r="Q85"/>
  <c r="Q84"/>
  <c r="L84"/>
  <c r="K84"/>
  <c r="J84"/>
  <c r="X83"/>
  <c r="Y83"/>
  <c r="X81"/>
  <c r="M81"/>
  <c r="X82"/>
  <c r="M82"/>
  <c r="N82" s="1"/>
  <c r="X80"/>
  <c r="Y80" s="1"/>
  <c r="X79"/>
  <c r="M79"/>
  <c r="X78"/>
  <c r="Y78" s="1"/>
  <c r="X77"/>
  <c r="M77"/>
  <c r="M76"/>
  <c r="L76"/>
  <c r="L72"/>
  <c r="K76"/>
  <c r="K72"/>
  <c r="J76"/>
  <c r="X75"/>
  <c r="Y75" s="1"/>
  <c r="X74"/>
  <c r="M74"/>
  <c r="X73"/>
  <c r="M73"/>
  <c r="J72"/>
  <c r="N71"/>
  <c r="X1710"/>
  <c r="M1710"/>
  <c r="M1709"/>
  <c r="M65"/>
  <c r="M66"/>
  <c r="N66" s="1"/>
  <c r="M67"/>
  <c r="N67" s="1"/>
  <c r="M68"/>
  <c r="N68" s="1"/>
  <c r="L1709"/>
  <c r="K1709"/>
  <c r="J1709"/>
  <c r="X68"/>
  <c r="X67"/>
  <c r="X66"/>
  <c r="X65"/>
  <c r="L64"/>
  <c r="K64"/>
  <c r="J64"/>
  <c r="X62"/>
  <c r="Y62" s="1"/>
  <c r="X61"/>
  <c r="M61"/>
  <c r="N61"/>
  <c r="L60"/>
  <c r="K60"/>
  <c r="J60"/>
  <c r="X59"/>
  <c r="Y59" s="1"/>
  <c r="X58"/>
  <c r="M58"/>
  <c r="N58"/>
  <c r="R58"/>
  <c r="Q58"/>
  <c r="X57"/>
  <c r="M57"/>
  <c r="N57" s="1"/>
  <c r="R57"/>
  <c r="Q57"/>
  <c r="X56"/>
  <c r="Y56" s="1"/>
  <c r="L55"/>
  <c r="J55"/>
  <c r="X50"/>
  <c r="Y50" s="1"/>
  <c r="M48"/>
  <c r="X48"/>
  <c r="R47"/>
  <c r="X53"/>
  <c r="Y53"/>
  <c r="X52"/>
  <c r="M52"/>
  <c r="M51" s="1"/>
  <c r="Y51" s="1"/>
  <c r="Z51" s="1"/>
  <c r="L51"/>
  <c r="K51"/>
  <c r="J51"/>
  <c r="X46"/>
  <c r="M46"/>
  <c r="M45" s="1"/>
  <c r="R45"/>
  <c r="L45"/>
  <c r="K45"/>
  <c r="J45"/>
  <c r="X44"/>
  <c r="Y44"/>
  <c r="X42"/>
  <c r="X41"/>
  <c r="Y41" s="1"/>
  <c r="X40"/>
  <c r="Y40" s="1"/>
  <c r="M39"/>
  <c r="X38"/>
  <c r="M38"/>
  <c r="X37"/>
  <c r="M37"/>
  <c r="L36"/>
  <c r="K36"/>
  <c r="J36"/>
  <c r="X35"/>
  <c r="Y35" s="1"/>
  <c r="X34"/>
  <c r="M34"/>
  <c r="M33"/>
  <c r="L33"/>
  <c r="K33"/>
  <c r="J33"/>
  <c r="X30"/>
  <c r="N30"/>
  <c r="X29"/>
  <c r="Y29" s="1"/>
  <c r="X28"/>
  <c r="M28"/>
  <c r="M27"/>
  <c r="L27"/>
  <c r="K27"/>
  <c r="J27"/>
  <c r="X26"/>
  <c r="Y26" s="1"/>
  <c r="X25"/>
  <c r="M25"/>
  <c r="X24"/>
  <c r="M24"/>
  <c r="X23"/>
  <c r="Y23" s="1"/>
  <c r="L22"/>
  <c r="K22"/>
  <c r="J22"/>
  <c r="X21"/>
  <c r="Y21"/>
  <c r="X20"/>
  <c r="M20"/>
  <c r="M19" s="1"/>
  <c r="J19"/>
  <c r="K19"/>
  <c r="L19"/>
  <c r="J10"/>
  <c r="J13"/>
  <c r="X18"/>
  <c r="Y18"/>
  <c r="X14"/>
  <c r="M14"/>
  <c r="R13"/>
  <c r="X17"/>
  <c r="M17"/>
  <c r="L13"/>
  <c r="K13"/>
  <c r="X12"/>
  <c r="Y12" s="1"/>
  <c r="X11"/>
  <c r="M11"/>
  <c r="M10"/>
  <c r="L10"/>
  <c r="K10"/>
  <c r="O30" i="3"/>
  <c r="J72" i="2"/>
  <c r="J71"/>
  <c r="L72"/>
  <c r="L71"/>
  <c r="M73"/>
  <c r="M74"/>
  <c r="M72" s="1"/>
  <c r="M71" s="1"/>
  <c r="M75"/>
  <c r="M76"/>
  <c r="M77"/>
  <c r="K72"/>
  <c r="K71" s="1"/>
  <c r="I304"/>
  <c r="M301"/>
  <c r="M300"/>
  <c r="M299" s="1"/>
  <c r="L300"/>
  <c r="L299" s="1"/>
  <c r="K300"/>
  <c r="K299" s="1"/>
  <c r="J300"/>
  <c r="J299" s="1"/>
  <c r="M297"/>
  <c r="M296" s="1"/>
  <c r="M295" s="1"/>
  <c r="L296"/>
  <c r="L295"/>
  <c r="K296"/>
  <c r="K295"/>
  <c r="J296"/>
  <c r="J295"/>
  <c r="M293"/>
  <c r="M292"/>
  <c r="M291" s="1"/>
  <c r="L292"/>
  <c r="L291" s="1"/>
  <c r="K292"/>
  <c r="K291" s="1"/>
  <c r="J292"/>
  <c r="J291" s="1"/>
  <c r="M289"/>
  <c r="N289" s="1"/>
  <c r="L288"/>
  <c r="L287" s="1"/>
  <c r="K288"/>
  <c r="K287" s="1"/>
  <c r="J288"/>
  <c r="J287" s="1"/>
  <c r="M285"/>
  <c r="M284" s="1"/>
  <c r="M281" s="1"/>
  <c r="L284"/>
  <c r="K284"/>
  <c r="J284"/>
  <c r="M283"/>
  <c r="M282"/>
  <c r="N282" s="1"/>
  <c r="L282"/>
  <c r="L281" s="1"/>
  <c r="K282"/>
  <c r="J282"/>
  <c r="M279"/>
  <c r="M278"/>
  <c r="L278"/>
  <c r="K278"/>
  <c r="K268" s="1"/>
  <c r="K269"/>
  <c r="J278"/>
  <c r="M276"/>
  <c r="N276"/>
  <c r="M275"/>
  <c r="L274"/>
  <c r="L272" s="1"/>
  <c r="L268" s="1"/>
  <c r="M273"/>
  <c r="L269"/>
  <c r="J272"/>
  <c r="J269"/>
  <c r="M270"/>
  <c r="M269" s="1"/>
  <c r="M268" s="1"/>
  <c r="M266"/>
  <c r="N266"/>
  <c r="M265"/>
  <c r="N265"/>
  <c r="M264"/>
  <c r="L263"/>
  <c r="L262" s="1"/>
  <c r="K263"/>
  <c r="K262" s="1"/>
  <c r="J263"/>
  <c r="J262" s="1"/>
  <c r="M260"/>
  <c r="N260" s="1"/>
  <c r="M259"/>
  <c r="N259" s="1"/>
  <c r="M258"/>
  <c r="N258" s="1"/>
  <c r="M257"/>
  <c r="N257" s="1"/>
  <c r="M256"/>
  <c r="N256" s="1"/>
  <c r="M255"/>
  <c r="N255" s="1"/>
  <c r="M254"/>
  <c r="N254" s="1"/>
  <c r="M253"/>
  <c r="L252"/>
  <c r="L251"/>
  <c r="K252"/>
  <c r="K251"/>
  <c r="J252"/>
  <c r="M249"/>
  <c r="M248" s="1"/>
  <c r="L248"/>
  <c r="L247" s="1"/>
  <c r="K248"/>
  <c r="K247" s="1"/>
  <c r="M245"/>
  <c r="M244"/>
  <c r="L243"/>
  <c r="K243"/>
  <c r="J243"/>
  <c r="M241"/>
  <c r="M240"/>
  <c r="M239"/>
  <c r="M238"/>
  <c r="M237" s="1"/>
  <c r="L237"/>
  <c r="K237"/>
  <c r="J237"/>
  <c r="M235"/>
  <c r="M234"/>
  <c r="M233"/>
  <c r="M232"/>
  <c r="M231"/>
  <c r="L230"/>
  <c r="K230"/>
  <c r="K222" s="1"/>
  <c r="J230"/>
  <c r="M228"/>
  <c r="M227" s="1"/>
  <c r="L227"/>
  <c r="K227"/>
  <c r="J227"/>
  <c r="J222" s="1"/>
  <c r="J223"/>
  <c r="M225"/>
  <c r="M224"/>
  <c r="L223"/>
  <c r="L222" s="1"/>
  <c r="K223"/>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2"/>
  <c r="M171"/>
  <c r="M170"/>
  <c r="M169"/>
  <c r="M168"/>
  <c r="M167"/>
  <c r="M166"/>
  <c r="M160"/>
  <c r="M159"/>
  <c r="M158"/>
  <c r="M157"/>
  <c r="M156"/>
  <c r="M155"/>
  <c r="M154"/>
  <c r="M153"/>
  <c r="M152"/>
  <c r="M151"/>
  <c r="M150"/>
  <c r="M149"/>
  <c r="M148"/>
  <c r="M147"/>
  <c r="L146"/>
  <c r="K146"/>
  <c r="J146"/>
  <c r="M144"/>
  <c r="M143"/>
  <c r="L143"/>
  <c r="K143"/>
  <c r="J143"/>
  <c r="M141"/>
  <c r="N141" s="1"/>
  <c r="L140"/>
  <c r="K140"/>
  <c r="K132" s="1"/>
  <c r="K133"/>
  <c r="J140"/>
  <c r="J132" s="1"/>
  <c r="J133"/>
  <c r="M138"/>
  <c r="M137"/>
  <c r="M136"/>
  <c r="M135"/>
  <c r="M134"/>
  <c r="M133" s="1"/>
  <c r="M132" s="1"/>
  <c r="L133"/>
  <c r="M130"/>
  <c r="M129"/>
  <c r="M128"/>
  <c r="M127"/>
  <c r="M126"/>
  <c r="M125"/>
  <c r="M124"/>
  <c r="M123"/>
  <c r="M122"/>
  <c r="M121"/>
  <c r="M120"/>
  <c r="M119" s="1"/>
  <c r="M118" s="1"/>
  <c r="L119"/>
  <c r="L118"/>
  <c r="K119"/>
  <c r="K118"/>
  <c r="J119"/>
  <c r="J118"/>
  <c r="M116"/>
  <c r="M115"/>
  <c r="M114"/>
  <c r="M113"/>
  <c r="M112"/>
  <c r="M111"/>
  <c r="M110"/>
  <c r="M109"/>
  <c r="M108"/>
  <c r="M107"/>
  <c r="M106"/>
  <c r="M105"/>
  <c r="M104"/>
  <c r="M103"/>
  <c r="M102"/>
  <c r="M101"/>
  <c r="M100"/>
  <c r="M99"/>
  <c r="M98"/>
  <c r="M97"/>
  <c r="M96"/>
  <c r="M95"/>
  <c r="M94"/>
  <c r="M93"/>
  <c r="M92"/>
  <c r="M91"/>
  <c r="M90"/>
  <c r="M89"/>
  <c r="L88"/>
  <c r="M87"/>
  <c r="M86"/>
  <c r="M85"/>
  <c r="M84"/>
  <c r="M83"/>
  <c r="M82"/>
  <c r="M81"/>
  <c r="M80" s="1"/>
  <c r="M79" s="1"/>
  <c r="K80"/>
  <c r="K79"/>
  <c r="J80"/>
  <c r="J79"/>
  <c r="M69"/>
  <c r="M68"/>
  <c r="M67"/>
  <c r="M66"/>
  <c r="M65"/>
  <c r="M64"/>
  <c r="M63"/>
  <c r="M62"/>
  <c r="M60"/>
  <c r="M61"/>
  <c r="M59" s="1"/>
  <c r="M58" s="1"/>
  <c r="L59"/>
  <c r="L58"/>
  <c r="K59"/>
  <c r="K58"/>
  <c r="J59"/>
  <c r="J58"/>
  <c r="M56"/>
  <c r="M55"/>
  <c r="M54" s="1"/>
  <c r="L54"/>
  <c r="K54"/>
  <c r="J54"/>
  <c r="M52"/>
  <c r="M51"/>
  <c r="M50"/>
  <c r="M48" s="1"/>
  <c r="M49"/>
  <c r="L48"/>
  <c r="K48"/>
  <c r="J48"/>
  <c r="M46"/>
  <c r="N46"/>
  <c r="L45"/>
  <c r="K45"/>
  <c r="J45"/>
  <c r="M43"/>
  <c r="M42" s="1"/>
  <c r="L42"/>
  <c r="K42"/>
  <c r="J42"/>
  <c r="J36"/>
  <c r="J39"/>
  <c r="J35" s="1"/>
  <c r="M40"/>
  <c r="M39"/>
  <c r="L39"/>
  <c r="L36"/>
  <c r="K39"/>
  <c r="K36"/>
  <c r="K29"/>
  <c r="K28"/>
  <c r="K27" s="1"/>
  <c r="K31"/>
  <c r="M37"/>
  <c r="M36" s="1"/>
  <c r="M33"/>
  <c r="N33" s="1"/>
  <c r="M32"/>
  <c r="N32" s="1"/>
  <c r="L31"/>
  <c r="J31"/>
  <c r="M30"/>
  <c r="N30"/>
  <c r="L29"/>
  <c r="L28"/>
  <c r="J29"/>
  <c r="J28"/>
  <c r="J27" s="1"/>
  <c r="M25"/>
  <c r="N25"/>
  <c r="L24"/>
  <c r="L23"/>
  <c r="K24"/>
  <c r="K23"/>
  <c r="J24"/>
  <c r="J23"/>
  <c r="M21"/>
  <c r="M20"/>
  <c r="M19" s="1"/>
  <c r="L20"/>
  <c r="L19" s="1"/>
  <c r="K20"/>
  <c r="K19" s="1"/>
  <c r="J20"/>
  <c r="J19" s="1"/>
  <c r="M15"/>
  <c r="M14" s="1"/>
  <c r="M13" s="1"/>
  <c r="L13"/>
  <c r="M11"/>
  <c r="M10" s="1"/>
  <c r="M9" s="1"/>
  <c r="L10"/>
  <c r="L9"/>
  <c r="K10"/>
  <c r="K9"/>
  <c r="J10"/>
  <c r="J9"/>
  <c r="K13" i="1"/>
  <c r="K12"/>
  <c r="K17"/>
  <c r="K16"/>
  <c r="K22"/>
  <c r="K30"/>
  <c r="K26"/>
  <c r="K76"/>
  <c r="K75"/>
  <c r="K83"/>
  <c r="K82"/>
  <c r="L13"/>
  <c r="L12"/>
  <c r="L17"/>
  <c r="L16"/>
  <c r="L22"/>
  <c r="L30"/>
  <c r="L26" s="1"/>
  <c r="L87" s="1"/>
  <c r="L76"/>
  <c r="L75"/>
  <c r="L83"/>
  <c r="L82" s="1"/>
  <c r="M13"/>
  <c r="M12"/>
  <c r="M17"/>
  <c r="M16"/>
  <c r="M22"/>
  <c r="M30"/>
  <c r="M26"/>
  <c r="M76"/>
  <c r="M75"/>
  <c r="M83"/>
  <c r="M82" s="1"/>
  <c r="M87" s="1"/>
  <c r="N14"/>
  <c r="N13" s="1"/>
  <c r="N12" s="1"/>
  <c r="N18"/>
  <c r="O18"/>
  <c r="N23"/>
  <c r="N24"/>
  <c r="N31"/>
  <c r="N77"/>
  <c r="N84"/>
  <c r="N83"/>
  <c r="N82" s="1"/>
  <c r="O84"/>
  <c r="K108" i="5"/>
  <c r="L108"/>
  <c r="J108"/>
  <c r="M100"/>
  <c r="M99"/>
  <c r="L98"/>
  <c r="K98"/>
  <c r="J98"/>
  <c r="K92"/>
  <c r="K90" s="1"/>
  <c r="K83" s="1"/>
  <c r="L92"/>
  <c r="L90" s="1"/>
  <c r="L83" s="1"/>
  <c r="J92"/>
  <c r="J90" s="1"/>
  <c r="J83" s="1"/>
  <c r="J119" s="1"/>
  <c r="K84"/>
  <c r="L84"/>
  <c r="J84"/>
  <c r="M88"/>
  <c r="M86"/>
  <c r="N86" s="1"/>
  <c r="J70"/>
  <c r="L53"/>
  <c r="K53"/>
  <c r="L50"/>
  <c r="L49"/>
  <c r="K50"/>
  <c r="K49"/>
  <c r="J44"/>
  <c r="J40"/>
  <c r="K40"/>
  <c r="L40"/>
  <c r="M36"/>
  <c r="M35"/>
  <c r="M34" s="1"/>
  <c r="I23"/>
  <c r="I119" s="1"/>
  <c r="N21"/>
  <c r="M21"/>
  <c r="M20"/>
  <c r="L20"/>
  <c r="K20"/>
  <c r="J20"/>
  <c r="M57"/>
  <c r="M56"/>
  <c r="M17"/>
  <c r="M16" s="1"/>
  <c r="L16"/>
  <c r="K16"/>
  <c r="J16"/>
  <c r="M55"/>
  <c r="M109"/>
  <c r="M108" s="1"/>
  <c r="M54"/>
  <c r="N54" s="1"/>
  <c r="M93"/>
  <c r="M92" s="1"/>
  <c r="M91" s="1"/>
  <c r="M90" s="1"/>
  <c r="M105"/>
  <c r="M104"/>
  <c r="L103"/>
  <c r="K103"/>
  <c r="J103"/>
  <c r="M13"/>
  <c r="M12"/>
  <c r="L11"/>
  <c r="L10"/>
  <c r="K11"/>
  <c r="K10"/>
  <c r="J11"/>
  <c r="J10"/>
  <c r="M66"/>
  <c r="N66"/>
  <c r="L65"/>
  <c r="L64"/>
  <c r="K65"/>
  <c r="K64"/>
  <c r="J65"/>
  <c r="J64"/>
  <c r="L35"/>
  <c r="L34"/>
  <c r="K35"/>
  <c r="K34"/>
  <c r="J35"/>
  <c r="J34"/>
  <c r="M114"/>
  <c r="N114"/>
  <c r="L113"/>
  <c r="L112"/>
  <c r="K113"/>
  <c r="K112"/>
  <c r="J113"/>
  <c r="J112"/>
  <c r="M81"/>
  <c r="N81"/>
  <c r="M80"/>
  <c r="N80"/>
  <c r="M79"/>
  <c r="N79"/>
  <c r="M78"/>
  <c r="N78"/>
  <c r="M77"/>
  <c r="N77"/>
  <c r="M76"/>
  <c r="N76"/>
  <c r="M75"/>
  <c r="M74"/>
  <c r="L73"/>
  <c r="L70"/>
  <c r="K73"/>
  <c r="K70"/>
  <c r="M72"/>
  <c r="M71"/>
  <c r="N71" s="1"/>
  <c r="M46"/>
  <c r="M45" s="1"/>
  <c r="M44" s="1"/>
  <c r="L45"/>
  <c r="L44"/>
  <c r="K45"/>
  <c r="K44"/>
  <c r="M62"/>
  <c r="M61"/>
  <c r="M60" s="1"/>
  <c r="L61"/>
  <c r="L60" s="1"/>
  <c r="L119" s="1"/>
  <c r="K61"/>
  <c r="K60" s="1"/>
  <c r="M51"/>
  <c r="M50" s="1"/>
  <c r="M49" s="1"/>
  <c r="M48" s="1"/>
  <c r="M41"/>
  <c r="N41"/>
  <c r="S1657" i="4"/>
  <c r="S1611" s="1"/>
  <c r="R363" i="6"/>
  <c r="S597" i="4"/>
  <c r="S596"/>
  <c r="R597"/>
  <c r="R596" s="1"/>
  <c r="R9" i="6"/>
  <c r="Q55"/>
  <c r="N435" i="4"/>
  <c r="S170"/>
  <c r="S157"/>
  <c r="N11" i="3"/>
  <c r="N10" s="1"/>
  <c r="O34"/>
  <c r="N33"/>
  <c r="N32"/>
  <c r="R419" i="6"/>
  <c r="R416"/>
  <c r="Q1983"/>
  <c r="R1983"/>
  <c r="M2804"/>
  <c r="N2805" s="1"/>
  <c r="R170" i="4"/>
  <c r="R55" i="6"/>
  <c r="L434" i="4"/>
  <c r="L419" s="1"/>
  <c r="R1578" i="6"/>
  <c r="Q1578"/>
  <c r="Q1887"/>
  <c r="R2849"/>
  <c r="R2803"/>
  <c r="R340"/>
  <c r="R2046"/>
  <c r="M2071"/>
  <c r="M1685"/>
  <c r="M1520"/>
  <c r="M396"/>
  <c r="M1547"/>
  <c r="M117"/>
  <c r="M1705"/>
  <c r="N1929"/>
  <c r="M1928"/>
  <c r="J63"/>
  <c r="M47"/>
  <c r="K23" i="5"/>
  <c r="K1716" i="4"/>
  <c r="O18" i="3"/>
  <c r="O58"/>
  <c r="N635" i="4"/>
  <c r="N597"/>
  <c r="N596" s="1"/>
  <c r="O202"/>
  <c r="N138"/>
  <c r="O138" s="1"/>
  <c r="L95"/>
  <c r="O135"/>
  <c r="N499"/>
  <c r="O499" s="1"/>
  <c r="N149"/>
  <c r="N148" s="1"/>
  <c r="N279"/>
  <c r="O279" s="1"/>
  <c r="N30" i="1"/>
  <c r="Y17" i="6"/>
  <c r="M68" i="3"/>
  <c r="M40" i="5"/>
  <c r="L23"/>
  <c r="N62"/>
  <c r="O93" i="4"/>
  <c r="N207"/>
  <c r="M26"/>
  <c r="N66"/>
  <c r="N105"/>
  <c r="O105" s="1"/>
  <c r="L122"/>
  <c r="N35"/>
  <c r="N34" s="1"/>
  <c r="Y418" i="6"/>
  <c r="Y1559"/>
  <c r="Y1568"/>
  <c r="M98" i="5"/>
  <c r="M113"/>
  <c r="M112"/>
  <c r="M73"/>
  <c r="N73"/>
  <c r="M53"/>
  <c r="L48"/>
  <c r="O196" i="4"/>
  <c r="N50"/>
  <c r="N109"/>
  <c r="O109" s="1"/>
  <c r="L148"/>
  <c r="N1601"/>
  <c r="N23"/>
  <c r="N22" s="1"/>
  <c r="O168"/>
  <c r="N237"/>
  <c r="N236"/>
  <c r="N414"/>
  <c r="O414" s="1"/>
  <c r="N1157"/>
  <c r="N31"/>
  <c r="N1699"/>
  <c r="N220"/>
  <c r="N232"/>
  <c r="O232" s="1"/>
  <c r="O249"/>
  <c r="Y70" i="3"/>
  <c r="O14" i="1"/>
  <c r="N22"/>
  <c r="M29" i="2"/>
  <c r="M28" s="1"/>
  <c r="M223"/>
  <c r="M222" s="1"/>
  <c r="L132"/>
  <c r="M243"/>
  <c r="L35"/>
  <c r="J268"/>
  <c r="L113" i="4"/>
  <c r="O26" i="3"/>
  <c r="O146" i="4"/>
  <c r="N678"/>
  <c r="O678" s="1"/>
  <c r="L1611"/>
  <c r="K281" i="2"/>
  <c r="N144"/>
  <c r="J281"/>
  <c r="Y933" i="6"/>
  <c r="O52" i="3"/>
  <c r="N10" i="4"/>
  <c r="N9" s="1"/>
  <c r="O115"/>
  <c r="O120"/>
  <c r="O162"/>
  <c r="N190"/>
  <c r="O190" s="1"/>
  <c r="N283"/>
  <c r="O283" s="1"/>
  <c r="N360"/>
  <c r="O360" s="1"/>
  <c r="N365"/>
  <c r="O365" s="1"/>
  <c r="N384"/>
  <c r="O384" s="1"/>
  <c r="N408"/>
  <c r="O408" s="1"/>
  <c r="N465"/>
  <c r="O465" s="1"/>
  <c r="N472"/>
  <c r="O472" s="1"/>
  <c r="N477"/>
  <c r="O477" s="1"/>
  <c r="N673"/>
  <c r="N1647"/>
  <c r="O1647" s="1"/>
  <c r="M146" i="2"/>
  <c r="N146" s="1"/>
  <c r="J23" i="5"/>
  <c r="M23"/>
  <c r="K87" i="1"/>
  <c r="M45" i="2"/>
  <c r="M24"/>
  <c r="M23" s="1"/>
  <c r="M263"/>
  <c r="M262" s="1"/>
  <c r="N187" i="4"/>
  <c r="N186"/>
  <c r="N58"/>
  <c r="O58" s="1"/>
  <c r="O165"/>
  <c r="L224"/>
  <c r="N646"/>
  <c r="N76" i="1"/>
  <c r="N75"/>
  <c r="O77"/>
  <c r="O64" i="4"/>
  <c r="N63"/>
  <c r="N567"/>
  <c r="N564"/>
  <c r="M564"/>
  <c r="M505"/>
  <c r="M84" i="5"/>
  <c r="M83" s="1"/>
  <c r="K48"/>
  <c r="K119" s="1"/>
  <c r="N1985" i="6"/>
  <c r="M1984"/>
  <c r="O155" i="4"/>
  <c r="N154"/>
  <c r="M70" i="5"/>
  <c r="N46"/>
  <c r="M103"/>
  <c r="N103" s="1"/>
  <c r="N17" i="1"/>
  <c r="N16" s="1"/>
  <c r="M230" i="2"/>
  <c r="N264"/>
  <c r="K71" i="6"/>
  <c r="K70"/>
  <c r="L80" i="2"/>
  <c r="L79" s="1"/>
  <c r="L27" s="1"/>
  <c r="M88"/>
  <c r="N270"/>
  <c r="M274"/>
  <c r="M272"/>
  <c r="N275"/>
  <c r="M31"/>
  <c r="M140"/>
  <c r="N273"/>
  <c r="N229" i="4"/>
  <c r="N72" i="5"/>
  <c r="M252" i="2"/>
  <c r="M251" s="1"/>
  <c r="M65" i="5"/>
  <c r="M64" s="1"/>
  <c r="M11"/>
  <c r="N21" i="2"/>
  <c r="K35"/>
  <c r="N43"/>
  <c r="N253"/>
  <c r="L68" i="3"/>
  <c r="N39" i="4"/>
  <c r="N683"/>
  <c r="N682" s="1"/>
  <c r="O22" i="3"/>
  <c r="Y193" i="6"/>
  <c r="Y1924"/>
  <c r="L1157" i="4"/>
  <c r="L682" s="1"/>
  <c r="L2803" i="6"/>
  <c r="K2803"/>
  <c r="Y81"/>
  <c r="Y92"/>
  <c r="M2813"/>
  <c r="N2814" s="1"/>
  <c r="Y1603"/>
  <c r="Y1637"/>
  <c r="L1712"/>
  <c r="Y1876"/>
  <c r="Y1910"/>
  <c r="Y1914"/>
  <c r="Y1938"/>
  <c r="Y1948"/>
  <c r="Y1952"/>
  <c r="Y2041"/>
  <c r="M1575"/>
  <c r="M388"/>
  <c r="Y380"/>
  <c r="M2836"/>
  <c r="N2837" s="1"/>
  <c r="Y1719"/>
  <c r="Y1723"/>
  <c r="Y1735"/>
  <c r="Y1739"/>
  <c r="Y1743"/>
  <c r="Y1747"/>
  <c r="Y1783"/>
  <c r="Y1787"/>
  <c r="Y1791"/>
  <c r="Y1795"/>
  <c r="Y1807"/>
  <c r="Y1823"/>
  <c r="Y1827"/>
  <c r="Y1830"/>
  <c r="Y1834"/>
  <c r="Y1687"/>
  <c r="Y1699"/>
  <c r="Y1703"/>
  <c r="Y1895"/>
  <c r="Y1926"/>
  <c r="Y1933"/>
  <c r="Y2053"/>
  <c r="Y2080"/>
  <c r="Y888"/>
  <c r="Y1624"/>
  <c r="Y1632"/>
  <c r="Y1694"/>
  <c r="Y1875"/>
  <c r="Y1905"/>
  <c r="Y1913"/>
  <c r="Y1947"/>
  <c r="Y1951"/>
  <c r="Y1955"/>
  <c r="Y1959"/>
  <c r="Y2075"/>
  <c r="Y2104"/>
  <c r="Y1915"/>
  <c r="Y1964"/>
  <c r="M1884"/>
  <c r="N1884" s="1"/>
  <c r="Y1602"/>
  <c r="X2049"/>
  <c r="Y2049"/>
  <c r="Y2093"/>
  <c r="Y1155"/>
  <c r="Y1874"/>
  <c r="Y14"/>
  <c r="Y20"/>
  <c r="Y1571"/>
  <c r="Y1611"/>
  <c r="Y1615"/>
  <c r="Y1643"/>
  <c r="Y1659"/>
  <c r="Y347"/>
  <c r="Y1201"/>
  <c r="Y1392"/>
  <c r="Y1477"/>
  <c r="Y2872"/>
  <c r="Y2831"/>
  <c r="Y1530"/>
  <c r="Y1562"/>
  <c r="Y34"/>
  <c r="Y105"/>
  <c r="Y110"/>
  <c r="Y119"/>
  <c r="Y128"/>
  <c r="Y136"/>
  <c r="Y1728"/>
  <c r="Y1752"/>
  <c r="Y1756"/>
  <c r="Y1768"/>
  <c r="Y1772"/>
  <c r="Y1776"/>
  <c r="Y1780"/>
  <c r="Y1828"/>
  <c r="Y1839"/>
  <c r="Y1855"/>
  <c r="Y1550"/>
  <c r="Y1554"/>
  <c r="M1578"/>
  <c r="Y1360"/>
  <c r="J1944"/>
  <c r="M411"/>
  <c r="Y1846"/>
  <c r="Y1587"/>
  <c r="Y1890"/>
  <c r="Y1967"/>
  <c r="J1972"/>
  <c r="Y1981"/>
  <c r="K2039"/>
  <c r="Y2044"/>
  <c r="Y2089"/>
  <c r="M2870"/>
  <c r="X1980"/>
  <c r="X2890"/>
  <c r="Y2890"/>
  <c r="Y125"/>
  <c r="Y2810"/>
  <c r="M2866"/>
  <c r="Y1630"/>
  <c r="Y1657"/>
  <c r="Y25"/>
  <c r="Y141"/>
  <c r="Y157"/>
  <c r="Y165"/>
  <c r="Y391"/>
  <c r="Y394"/>
  <c r="Y397"/>
  <c r="Y398"/>
  <c r="Y1717"/>
  <c r="Y1721"/>
  <c r="Y1725"/>
  <c r="Y1749"/>
  <c r="Y1757"/>
  <c r="Y1761"/>
  <c r="Y1765"/>
  <c r="Y1769"/>
  <c r="Y1773"/>
  <c r="Y1777"/>
  <c r="Y1781"/>
  <c r="Y1785"/>
  <c r="Y1789"/>
  <c r="Y1797"/>
  <c r="Y1801"/>
  <c r="Y1805"/>
  <c r="Y1809"/>
  <c r="Y1813"/>
  <c r="Y1817"/>
  <c r="Y1829"/>
  <c r="Y1836"/>
  <c r="Y1860"/>
  <c r="Y1868"/>
  <c r="Y1538"/>
  <c r="Y2818"/>
  <c r="Y2822"/>
  <c r="Y2826"/>
  <c r="Y2877"/>
  <c r="M2052"/>
  <c r="N2052" s="1"/>
  <c r="L89"/>
  <c r="Y97"/>
  <c r="Y156"/>
  <c r="M1570"/>
  <c r="N1570"/>
  <c r="Y1640"/>
  <c r="Y1693"/>
  <c r="Y2005"/>
  <c r="Y2074"/>
  <c r="Y2079"/>
  <c r="Y1741"/>
  <c r="X1567"/>
  <c r="Y1553"/>
  <c r="Y1576"/>
  <c r="Y1654"/>
  <c r="Y1668"/>
  <c r="Y1697"/>
  <c r="Y1920"/>
  <c r="Y1985"/>
  <c r="M2004"/>
  <c r="Y2088"/>
  <c r="Y2090"/>
  <c r="Y381"/>
  <c r="Y1522"/>
  <c r="Y1622"/>
  <c r="Y1877"/>
  <c r="Y1881"/>
  <c r="Y1949"/>
  <c r="Y1995"/>
  <c r="Y1998"/>
  <c r="M2087"/>
  <c r="L419"/>
  <c r="L416" s="1"/>
  <c r="M2875"/>
  <c r="Y61"/>
  <c r="Y138"/>
  <c r="Y142"/>
  <c r="Y146"/>
  <c r="Y150"/>
  <c r="Y154"/>
  <c r="Y158"/>
  <c r="Y162"/>
  <c r="Y166"/>
  <c r="Y170"/>
  <c r="Y178"/>
  <c r="Y186"/>
  <c r="Y190"/>
  <c r="Y1730"/>
  <c r="Y1746"/>
  <c r="Y1750"/>
  <c r="Y1758"/>
  <c r="Y1762"/>
  <c r="Y1774"/>
  <c r="Y1778"/>
  <c r="Y1790"/>
  <c r="Y1794"/>
  <c r="Y1798"/>
  <c r="Y1806"/>
  <c r="Y1814"/>
  <c r="Y1837"/>
  <c r="Y1849"/>
  <c r="Y1548"/>
  <c r="Y2009"/>
  <c r="Y2054"/>
  <c r="Y2081"/>
  <c r="J419"/>
  <c r="K420"/>
  <c r="X420" s="1"/>
  <c r="Y2846"/>
  <c r="Y2857"/>
  <c r="Y2873"/>
  <c r="Y2879"/>
  <c r="X1842"/>
  <c r="X1994"/>
  <c r="Y1994"/>
  <c r="Y1844"/>
  <c r="X2015"/>
  <c r="Y581"/>
  <c r="Y1436"/>
  <c r="Y2815"/>
  <c r="Y2819"/>
  <c r="Y2823"/>
  <c r="Y2827"/>
  <c r="Y134"/>
  <c r="Y65"/>
  <c r="M90"/>
  <c r="M89"/>
  <c r="Y353"/>
  <c r="Y386"/>
  <c r="X2004"/>
  <c r="Y2010"/>
  <c r="Y1865"/>
  <c r="M1682"/>
  <c r="Y1359"/>
  <c r="Y2816"/>
  <c r="M108"/>
  <c r="M107"/>
  <c r="Y123"/>
  <c r="Y172"/>
  <c r="Y1580"/>
  <c r="Y1612"/>
  <c r="Y1656"/>
  <c r="X1873"/>
  <c r="Y1889"/>
  <c r="Y2013"/>
  <c r="M2007"/>
  <c r="Y1826"/>
  <c r="Y2820"/>
  <c r="Y24"/>
  <c r="Y48"/>
  <c r="K63"/>
  <c r="J71"/>
  <c r="J70"/>
  <c r="Y79"/>
  <c r="Y109"/>
  <c r="Y171"/>
  <c r="Y175"/>
  <c r="Y179"/>
  <c r="Y187"/>
  <c r="Y1744"/>
  <c r="Y1850"/>
  <c r="Y1854"/>
  <c r="Y1862"/>
  <c r="Y1866"/>
  <c r="Y1870"/>
  <c r="Y1584"/>
  <c r="Y1593"/>
  <c r="Y1608"/>
  <c r="Y1616"/>
  <c r="Y1629"/>
  <c r="Y1683"/>
  <c r="Y1696"/>
  <c r="Y1900"/>
  <c r="Y1961"/>
  <c r="Y1974"/>
  <c r="Y2027"/>
  <c r="Y2032"/>
  <c r="Y2830"/>
  <c r="Y2834"/>
  <c r="Y2855"/>
  <c r="M379"/>
  <c r="Y414"/>
  <c r="Y68"/>
  <c r="Y173"/>
  <c r="Y177"/>
  <c r="Y181"/>
  <c r="Y345"/>
  <c r="X330"/>
  <c r="Y42"/>
  <c r="Y67"/>
  <c r="M64"/>
  <c r="M63"/>
  <c r="Y74"/>
  <c r="Y217"/>
  <c r="X191"/>
  <c r="Y346"/>
  <c r="Y57"/>
  <c r="Y82"/>
  <c r="Y184"/>
  <c r="Y195"/>
  <c r="Y348"/>
  <c r="Y132"/>
  <c r="Y1810"/>
  <c r="Y2811"/>
  <c r="N65"/>
  <c r="M13"/>
  <c r="Y30"/>
  <c r="X47"/>
  <c r="L63"/>
  <c r="Y133"/>
  <c r="Y1729"/>
  <c r="Y1733"/>
  <c r="Y1633"/>
  <c r="Y1652"/>
  <c r="Y1661"/>
  <c r="X1966"/>
  <c r="M1972"/>
  <c r="Y462"/>
  <c r="Y777"/>
  <c r="Y886"/>
  <c r="Y969"/>
  <c r="Y1304"/>
  <c r="X2813"/>
  <c r="Y2853"/>
  <c r="Y2859"/>
  <c r="Y2863"/>
  <c r="Y2871"/>
  <c r="X372"/>
  <c r="Y2882"/>
  <c r="Y1902"/>
  <c r="X13"/>
  <c r="X36"/>
  <c r="X60"/>
  <c r="Y1710"/>
  <c r="Y85"/>
  <c r="X108"/>
  <c r="Y144"/>
  <c r="Y152"/>
  <c r="Y168"/>
  <c r="Y176"/>
  <c r="Y180"/>
  <c r="Y333"/>
  <c r="Y1732"/>
  <c r="Y1736"/>
  <c r="Y1740"/>
  <c r="Y1751"/>
  <c r="Y1755"/>
  <c r="Y1763"/>
  <c r="Y1779"/>
  <c r="Y1852"/>
  <c r="Y1864"/>
  <c r="Y1552"/>
  <c r="L1566"/>
  <c r="Y1573"/>
  <c r="Y1590"/>
  <c r="Y1617"/>
  <c r="Y1625"/>
  <c r="Y1648"/>
  <c r="Y1702"/>
  <c r="Y1878"/>
  <c r="Y1897"/>
  <c r="Y1903"/>
  <c r="Y1907"/>
  <c r="X1931"/>
  <c r="K1944"/>
  <c r="Y1956"/>
  <c r="L1972"/>
  <c r="Y1977"/>
  <c r="X1997"/>
  <c r="Y1997"/>
  <c r="Y901"/>
  <c r="Y2832"/>
  <c r="Y2862"/>
  <c r="Y361"/>
  <c r="X383"/>
  <c r="Y413"/>
  <c r="M2023"/>
  <c r="Y678"/>
  <c r="N1977"/>
  <c r="Y143"/>
  <c r="Y1770"/>
  <c r="M1557"/>
  <c r="M1556" s="1"/>
  <c r="J1566"/>
  <c r="M352"/>
  <c r="N2001"/>
  <c r="X27"/>
  <c r="Y27"/>
  <c r="X101"/>
  <c r="X127"/>
  <c r="Y131"/>
  <c r="X335"/>
  <c r="M358"/>
  <c r="N359" s="1"/>
  <c r="Y1821"/>
  <c r="Y1843"/>
  <c r="Y1646"/>
  <c r="X1682"/>
  <c r="Y2008"/>
  <c r="L2060"/>
  <c r="X2077"/>
  <c r="Y422"/>
  <c r="Y1786"/>
  <c r="Y1822"/>
  <c r="Y1503"/>
  <c r="Y139"/>
  <c r="Y167"/>
  <c r="M330"/>
  <c r="N331"/>
  <c r="X2881"/>
  <c r="N1938"/>
  <c r="X2092"/>
  <c r="X64"/>
  <c r="N2032"/>
  <c r="X33"/>
  <c r="Y33"/>
  <c r="J89"/>
  <c r="Y130"/>
  <c r="Y185"/>
  <c r="Y189"/>
  <c r="L363"/>
  <c r="Y377"/>
  <c r="X385"/>
  <c r="X388"/>
  <c r="Y392"/>
  <c r="X396"/>
  <c r="Y1738"/>
  <c r="Y1745"/>
  <c r="Y1784"/>
  <c r="Y1788"/>
  <c r="Y1796"/>
  <c r="Y1812"/>
  <c r="Y1816"/>
  <c r="Y1820"/>
  <c r="Y1824"/>
  <c r="Y1838"/>
  <c r="Y1857"/>
  <c r="Y1526"/>
  <c r="Y1564"/>
  <c r="Y1588"/>
  <c r="Y1601"/>
  <c r="Y1606"/>
  <c r="Y1638"/>
  <c r="Y1641"/>
  <c r="Y1645"/>
  <c r="X1685"/>
  <c r="Y1691"/>
  <c r="Y1899"/>
  <c r="Y1909"/>
  <c r="Y1921"/>
  <c r="Y1950"/>
  <c r="Y1970"/>
  <c r="Y2001"/>
  <c r="X2007"/>
  <c r="J2022"/>
  <c r="K2022"/>
  <c r="Y2034"/>
  <c r="Y855"/>
  <c r="Y887"/>
  <c r="Y1476"/>
  <c r="Y1504"/>
  <c r="Y2838"/>
  <c r="Y2842"/>
  <c r="Y2847"/>
  <c r="X364"/>
  <c r="J363"/>
  <c r="Y1591"/>
  <c r="Y155"/>
  <c r="X376"/>
  <c r="Y1561"/>
  <c r="X1516"/>
  <c r="Y1516" s="1"/>
  <c r="Y38"/>
  <c r="N110"/>
  <c r="Y350"/>
  <c r="Y1859"/>
  <c r="Y1634"/>
  <c r="M1873"/>
  <c r="K1917"/>
  <c r="Y1963"/>
  <c r="N2020"/>
  <c r="L2030"/>
  <c r="M2047"/>
  <c r="N1974"/>
  <c r="Y37"/>
  <c r="M60"/>
  <c r="L71"/>
  <c r="L70" s="1"/>
  <c r="X84"/>
  <c r="Y84" s="1"/>
  <c r="Y147"/>
  <c r="Y182"/>
  <c r="M191"/>
  <c r="Y1720"/>
  <c r="Y1724"/>
  <c r="Y1731"/>
  <c r="Y1742"/>
  <c r="Y1753"/>
  <c r="Y1764"/>
  <c r="Y1775"/>
  <c r="Y1782"/>
  <c r="Y1808"/>
  <c r="Y1815"/>
  <c r="Y1819"/>
  <c r="Y1833"/>
  <c r="Y1840"/>
  <c r="Y1851"/>
  <c r="Y1858"/>
  <c r="Y1563"/>
  <c r="X1570"/>
  <c r="Y1609"/>
  <c r="Y1628"/>
  <c r="N1634"/>
  <c r="Y1644"/>
  <c r="Y1655"/>
  <c r="Y1663"/>
  <c r="Y1670"/>
  <c r="Y1673"/>
  <c r="X1706"/>
  <c r="Y1706" s="1"/>
  <c r="Y1879"/>
  <c r="Y1885"/>
  <c r="Y1893"/>
  <c r="J1917"/>
  <c r="Y1925"/>
  <c r="Y1954"/>
  <c r="Y1958"/>
  <c r="M1969"/>
  <c r="Y2028"/>
  <c r="K2030"/>
  <c r="N2041"/>
  <c r="M2043"/>
  <c r="M2039"/>
  <c r="X2068"/>
  <c r="L2086"/>
  <c r="Y2098"/>
  <c r="Y856"/>
  <c r="Y1305"/>
  <c r="Y2825"/>
  <c r="Y2833"/>
  <c r="Y2841"/>
  <c r="X2849"/>
  <c r="Y2852"/>
  <c r="Y2858"/>
  <c r="Y2861"/>
  <c r="Y2868"/>
  <c r="X104"/>
  <c r="Y104" s="1"/>
  <c r="Y332"/>
  <c r="Y1718"/>
  <c r="Y1856"/>
  <c r="X1556"/>
  <c r="Y1653"/>
  <c r="X1887"/>
  <c r="Y1989"/>
  <c r="Y126"/>
  <c r="Y159"/>
  <c r="Y1594"/>
  <c r="Y1618"/>
  <c r="Y1649"/>
  <c r="M2033"/>
  <c r="X2866"/>
  <c r="K9"/>
  <c r="M22"/>
  <c r="Y183"/>
  <c r="Y1754"/>
  <c r="Y1932"/>
  <c r="Y2856"/>
  <c r="M1987"/>
  <c r="N1987" s="1"/>
  <c r="N20"/>
  <c r="X51"/>
  <c r="Y66"/>
  <c r="M72"/>
  <c r="M71"/>
  <c r="M70" s="1"/>
  <c r="N105"/>
  <c r="Y409"/>
  <c r="K1714"/>
  <c r="K1712" s="1"/>
  <c r="K1519" s="1"/>
  <c r="Y1716"/>
  <c r="Y1727"/>
  <c r="Y1734"/>
  <c r="Y1760"/>
  <c r="Y1767"/>
  <c r="Y1771"/>
  <c r="Y1793"/>
  <c r="Y1800"/>
  <c r="Y1804"/>
  <c r="Y1811"/>
  <c r="Y1832"/>
  <c r="Y1524"/>
  <c r="Y1528"/>
  <c r="Y1532"/>
  <c r="K1566"/>
  <c r="Y1596"/>
  <c r="Y1620"/>
  <c r="Y1658"/>
  <c r="X1883"/>
  <c r="L1983"/>
  <c r="Y1988"/>
  <c r="J2003"/>
  <c r="Y2024"/>
  <c r="L2046"/>
  <c r="K2086"/>
  <c r="Y2817"/>
  <c r="Y2821"/>
  <c r="Y2829"/>
  <c r="Y2840"/>
  <c r="N2013"/>
  <c r="N28"/>
  <c r="Y163"/>
  <c r="Y1722"/>
  <c r="Y1707"/>
  <c r="L2003"/>
  <c r="X2031"/>
  <c r="Y2031"/>
  <c r="N2050"/>
  <c r="Y118"/>
  <c r="Y151"/>
  <c r="X365"/>
  <c r="Y1534"/>
  <c r="Y1610"/>
  <c r="Y1894"/>
  <c r="Y1241"/>
  <c r="N1995"/>
  <c r="X2096"/>
  <c r="Y46"/>
  <c r="X96"/>
  <c r="Y1929"/>
  <c r="Y135"/>
  <c r="X216"/>
  <c r="X1689"/>
  <c r="Y1701"/>
  <c r="X1969"/>
  <c r="X1976"/>
  <c r="Y1976" s="1"/>
  <c r="K1983"/>
  <c r="Y2006"/>
  <c r="M2092"/>
  <c r="Y1077"/>
  <c r="Y1867"/>
  <c r="Y1642"/>
  <c r="Y1692"/>
  <c r="N1707"/>
  <c r="M1887"/>
  <c r="Y1904"/>
  <c r="Y1022"/>
  <c r="Y1154"/>
  <c r="L9"/>
  <c r="Y148"/>
  <c r="X379"/>
  <c r="Y1802"/>
  <c r="Y1542"/>
  <c r="Y1922"/>
  <c r="Y140"/>
  <c r="Y1848"/>
  <c r="Y1614"/>
  <c r="M1980"/>
  <c r="M1979"/>
  <c r="X2052"/>
  <c r="Y2878"/>
  <c r="X1945"/>
  <c r="Y11"/>
  <c r="X19"/>
  <c r="Y28"/>
  <c r="X1709"/>
  <c r="Y1709" s="1"/>
  <c r="X76"/>
  <c r="Y76" s="1"/>
  <c r="Y149"/>
  <c r="Y160"/>
  <c r="Y164"/>
  <c r="Y174"/>
  <c r="Y188"/>
  <c r="Y336"/>
  <c r="Y370"/>
  <c r="Y373"/>
  <c r="Y1715"/>
  <c r="Y1726"/>
  <c r="Y1737"/>
  <c r="Y1748"/>
  <c r="Y1759"/>
  <c r="Y1766"/>
  <c r="Y1792"/>
  <c r="Y1799"/>
  <c r="Y1803"/>
  <c r="Y1818"/>
  <c r="Y1825"/>
  <c r="Y1831"/>
  <c r="Y1835"/>
  <c r="Y1549"/>
  <c r="Y1558"/>
  <c r="Y1581"/>
  <c r="Y1585"/>
  <c r="Y1595"/>
  <c r="Y1599"/>
  <c r="Y1619"/>
  <c r="Y1623"/>
  <c r="Y1627"/>
  <c r="Y1650"/>
  <c r="Y1669"/>
  <c r="Y1672"/>
  <c r="Y1700"/>
  <c r="Y1892"/>
  <c r="Y1908"/>
  <c r="Y1912"/>
  <c r="Y1923"/>
  <c r="L1944"/>
  <c r="Y1953"/>
  <c r="Y1957"/>
  <c r="Y2020"/>
  <c r="M2026"/>
  <c r="Y2048"/>
  <c r="Y2050"/>
  <c r="Y2062"/>
  <c r="M2077"/>
  <c r="X2095"/>
  <c r="Y1189"/>
  <c r="Y2824"/>
  <c r="X2836"/>
  <c r="Y2839"/>
  <c r="Y2843"/>
  <c r="Y2851"/>
  <c r="Y2860"/>
  <c r="Y2867"/>
  <c r="Y2876"/>
  <c r="Y1919"/>
  <c r="M1918"/>
  <c r="N1935"/>
  <c r="Y1935"/>
  <c r="N336"/>
  <c r="Y390"/>
  <c r="L2039"/>
  <c r="X2040"/>
  <c r="Y2040" s="1"/>
  <c r="Y98"/>
  <c r="N98"/>
  <c r="M96"/>
  <c r="Y384"/>
  <c r="M383"/>
  <c r="N384"/>
  <c r="J1983"/>
  <c r="X1984"/>
  <c r="M2068"/>
  <c r="Y2069"/>
  <c r="L1917"/>
  <c r="X1884"/>
  <c r="M55"/>
  <c r="K89"/>
  <c r="M1842"/>
  <c r="M1714" s="1"/>
  <c r="M1712" s="1"/>
  <c r="X1520"/>
  <c r="N1568"/>
  <c r="X1575"/>
  <c r="N1585"/>
  <c r="X1940"/>
  <c r="L2022"/>
  <c r="Y2072"/>
  <c r="Y1517"/>
  <c r="M1991"/>
  <c r="N77"/>
  <c r="X22"/>
  <c r="M36"/>
  <c r="Y52"/>
  <c r="N1710"/>
  <c r="Y73"/>
  <c r="Y102"/>
  <c r="X113"/>
  <c r="Y129"/>
  <c r="Y145"/>
  <c r="Y161"/>
  <c r="M372"/>
  <c r="N390"/>
  <c r="Y1845"/>
  <c r="Y1861"/>
  <c r="N1561"/>
  <c r="X1578"/>
  <c r="Y1635"/>
  <c r="Y1671"/>
  <c r="Y1896"/>
  <c r="Y1911"/>
  <c r="X1987"/>
  <c r="N1998"/>
  <c r="X2000"/>
  <c r="Y2000" s="1"/>
  <c r="K2003"/>
  <c r="X2012"/>
  <c r="Y2012"/>
  <c r="X2023"/>
  <c r="Y2066"/>
  <c r="N2072"/>
  <c r="M365"/>
  <c r="M364" s="1"/>
  <c r="N366"/>
  <c r="X2047"/>
  <c r="J2046"/>
  <c r="M376"/>
  <c r="N377"/>
  <c r="Y356"/>
  <c r="N356"/>
  <c r="M2015"/>
  <c r="Y2016"/>
  <c r="Y58"/>
  <c r="X72"/>
  <c r="X352"/>
  <c r="X1937"/>
  <c r="Y1937" s="1"/>
  <c r="X1979"/>
  <c r="J2803"/>
  <c r="X1513"/>
  <c r="Y1513" s="1"/>
  <c r="X2026"/>
  <c r="N2058"/>
  <c r="N102"/>
  <c r="Q216"/>
  <c r="R216"/>
  <c r="X411"/>
  <c r="J1705"/>
  <c r="X1705" s="1"/>
  <c r="Y1705" s="1"/>
  <c r="M1945"/>
  <c r="Y2058"/>
  <c r="M2064"/>
  <c r="X2804"/>
  <c r="X2875"/>
  <c r="J2086"/>
  <c r="X2087"/>
  <c r="J9"/>
  <c r="X10"/>
  <c r="Y10" s="1"/>
  <c r="N48"/>
  <c r="J2056"/>
  <c r="X2056"/>
  <c r="Y2056" s="1"/>
  <c r="X2057"/>
  <c r="Y2057" s="1"/>
  <c r="X358"/>
  <c r="X1918"/>
  <c r="M1966"/>
  <c r="X2033"/>
  <c r="Y1891"/>
  <c r="X1690"/>
  <c r="Y77"/>
  <c r="X45"/>
  <c r="X55"/>
  <c r="Y91"/>
  <c r="J107"/>
  <c r="Y114"/>
  <c r="M127"/>
  <c r="M121"/>
  <c r="Y360"/>
  <c r="K363"/>
  <c r="Y368"/>
  <c r="Y407"/>
  <c r="Y1847"/>
  <c r="Y1863"/>
  <c r="Y1664"/>
  <c r="Y1698"/>
  <c r="Y1898"/>
  <c r="M1931"/>
  <c r="N1931" s="1"/>
  <c r="Y1946"/>
  <c r="Y1992"/>
  <c r="K2046"/>
  <c r="N2062"/>
  <c r="Y2065"/>
  <c r="K2060"/>
  <c r="X2071"/>
  <c r="Y1358"/>
  <c r="M2849"/>
  <c r="N2850" s="1"/>
  <c r="M2036"/>
  <c r="N2037"/>
  <c r="Y2037"/>
  <c r="X2064"/>
  <c r="K1972"/>
  <c r="X1972" s="1"/>
  <c r="Y1972" s="1"/>
  <c r="X1973"/>
  <c r="Y1973"/>
  <c r="M113"/>
  <c r="N114"/>
  <c r="N113" s="1"/>
  <c r="M1940"/>
  <c r="N1941"/>
  <c r="Y1941"/>
  <c r="M2096"/>
  <c r="Y2097"/>
  <c r="Y1880"/>
  <c r="Y1514"/>
  <c r="Y366"/>
  <c r="X1557"/>
  <c r="Y1557" s="1"/>
  <c r="Y124"/>
  <c r="Y137"/>
  <c r="Y153"/>
  <c r="Y169"/>
  <c r="Y192"/>
  <c r="Y1853"/>
  <c r="Y1869"/>
  <c r="Y1551"/>
  <c r="Y1667"/>
  <c r="M1690"/>
  <c r="M1689" s="1"/>
  <c r="Y1689" s="1"/>
  <c r="Y1901"/>
  <c r="Y1906"/>
  <c r="Y1962"/>
  <c r="X1991"/>
  <c r="Y2101"/>
  <c r="Y2854"/>
  <c r="X2870"/>
  <c r="Y2870" s="1"/>
  <c r="Y2866"/>
  <c r="R1943"/>
  <c r="M1883"/>
  <c r="Y1883" s="1"/>
  <c r="Y396"/>
  <c r="Y1884"/>
  <c r="M2046"/>
  <c r="Y2804"/>
  <c r="Y1682"/>
  <c r="Y1984"/>
  <c r="O597" i="4"/>
  <c r="M10" i="5"/>
  <c r="M119" s="1"/>
  <c r="N11"/>
  <c r="X63" i="6"/>
  <c r="Y63" s="1"/>
  <c r="M2022"/>
  <c r="Y1575"/>
  <c r="N1557"/>
  <c r="Y1979"/>
  <c r="Y60"/>
  <c r="M420"/>
  <c r="K419"/>
  <c r="K416" s="1"/>
  <c r="Y2004"/>
  <c r="Y64"/>
  <c r="Y2875"/>
  <c r="Y2015"/>
  <c r="Y383"/>
  <c r="X1944"/>
  <c r="Y1944" s="1"/>
  <c r="Y108"/>
  <c r="Y411"/>
  <c r="Y335"/>
  <c r="Y1873"/>
  <c r="Y2087"/>
  <c r="Y2023"/>
  <c r="Y2052"/>
  <c r="Y1570"/>
  <c r="Y379"/>
  <c r="Y2068"/>
  <c r="Y96"/>
  <c r="X1566"/>
  <c r="Y1987"/>
  <c r="Y1980"/>
  <c r="X2022"/>
  <c r="M2086"/>
  <c r="Y2077"/>
  <c r="M1983"/>
  <c r="Y2096"/>
  <c r="Y2007"/>
  <c r="Y2071"/>
  <c r="Y330"/>
  <c r="Y191"/>
  <c r="Y2047"/>
  <c r="Y2092"/>
  <c r="Y22"/>
  <c r="X89"/>
  <c r="Y89" s="1"/>
  <c r="M2030"/>
  <c r="Y358"/>
  <c r="Y1991"/>
  <c r="X71"/>
  <c r="Y71"/>
  <c r="Y1578"/>
  <c r="X363"/>
  <c r="Y1842"/>
  <c r="Y376"/>
  <c r="Y1966"/>
  <c r="X2003"/>
  <c r="Y2003" s="1"/>
  <c r="Y13"/>
  <c r="Y47"/>
  <c r="Y1685"/>
  <c r="X1983"/>
  <c r="Y2813"/>
  <c r="Y352"/>
  <c r="Y372"/>
  <c r="Y1931"/>
  <c r="Y1969"/>
  <c r="Y2033"/>
  <c r="Y2026"/>
  <c r="Y72"/>
  <c r="X1917"/>
  <c r="Y127"/>
  <c r="Y1887"/>
  <c r="X2086"/>
  <c r="L1943"/>
  <c r="L1547" s="1"/>
  <c r="M1944"/>
  <c r="M1943" s="1"/>
  <c r="Y1945"/>
  <c r="N388"/>
  <c r="Y388"/>
  <c r="Y36"/>
  <c r="Y1690"/>
  <c r="Y2836"/>
  <c r="X9"/>
  <c r="M2003"/>
  <c r="K1943"/>
  <c r="K1546"/>
  <c r="Y365"/>
  <c r="X2046"/>
  <c r="Y2064"/>
  <c r="Y55"/>
  <c r="Y1520"/>
  <c r="Y2849"/>
  <c r="M2095"/>
  <c r="Y2095" s="1"/>
  <c r="N2096"/>
  <c r="N2064"/>
  <c r="M2060"/>
  <c r="X2803"/>
  <c r="Y1940"/>
  <c r="J2061"/>
  <c r="Y1918"/>
  <c r="Y113"/>
  <c r="Y2046"/>
  <c r="M419"/>
  <c r="M1546"/>
  <c r="K342"/>
  <c r="K341" s="1"/>
  <c r="K340" s="1"/>
  <c r="L342"/>
  <c r="L341" s="1"/>
  <c r="L340" s="1"/>
  <c r="Y2022"/>
  <c r="Y1983"/>
  <c r="X419"/>
  <c r="Y419" s="1"/>
  <c r="Y2086"/>
  <c r="X2061"/>
  <c r="Y2061"/>
  <c r="J2060"/>
  <c r="M342"/>
  <c r="M341"/>
  <c r="X2060"/>
  <c r="Y2060"/>
  <c r="J2043"/>
  <c r="N117"/>
  <c r="J2039"/>
  <c r="X2043"/>
  <c r="Y2043" s="1"/>
  <c r="X2039"/>
  <c r="Y2039"/>
  <c r="J2036"/>
  <c r="X2036"/>
  <c r="Y2036" s="1"/>
  <c r="J2030"/>
  <c r="J2019" s="1"/>
  <c r="X2030"/>
  <c r="Y2030" s="1"/>
  <c r="X117"/>
  <c r="Y117" s="1"/>
  <c r="J342"/>
  <c r="J341" s="1"/>
  <c r="X342"/>
  <c r="Y342" s="1"/>
  <c r="J1546"/>
  <c r="Y420" l="1"/>
  <c r="I2887"/>
  <c r="X2019"/>
  <c r="Y2019" s="1"/>
  <c r="J2018"/>
  <c r="X1547"/>
  <c r="Y1547" s="1"/>
  <c r="L1546"/>
  <c r="X70"/>
  <c r="Y70" s="1"/>
  <c r="Y1556"/>
  <c r="M1566"/>
  <c r="Y1566" s="1"/>
  <c r="Y1567"/>
  <c r="X341"/>
  <c r="Y341" s="1"/>
  <c r="J340"/>
  <c r="M363"/>
  <c r="Y363" s="1"/>
  <c r="Y364"/>
  <c r="M9"/>
  <c r="Y19"/>
  <c r="N45"/>
  <c r="Y45"/>
  <c r="K54"/>
  <c r="K2887" s="1"/>
  <c r="X107"/>
  <c r="Y107" s="1"/>
  <c r="X1714"/>
  <c r="Y1714" s="1"/>
  <c r="J1712"/>
  <c r="M1510"/>
  <c r="Y1511"/>
  <c r="Y2605"/>
  <c r="Q420"/>
  <c r="Q419" s="1"/>
  <c r="Q416" s="1"/>
  <c r="M1917"/>
  <c r="Y1917" s="1"/>
  <c r="M2803"/>
  <c r="Y2803" s="1"/>
  <c r="M2107"/>
  <c r="Q2086"/>
  <c r="Q1943" s="1"/>
  <c r="M2576"/>
  <c r="R2107"/>
  <c r="R2106" s="1"/>
  <c r="R1519" s="1"/>
  <c r="R54" s="1"/>
  <c r="R2887" s="1"/>
  <c r="Q2576"/>
  <c r="Q2106" s="1"/>
  <c r="N122" i="4"/>
  <c r="O123"/>
  <c r="O258"/>
  <c r="N254"/>
  <c r="O440"/>
  <c r="N434"/>
  <c r="O1612"/>
  <c r="N1611"/>
  <c r="N419"/>
  <c r="O176"/>
  <c r="N175"/>
  <c r="O225"/>
  <c r="N224"/>
  <c r="R38"/>
  <c r="R1716" s="1"/>
  <c r="L56"/>
  <c r="L38" s="1"/>
  <c r="L1716" s="1"/>
  <c r="S38"/>
  <c r="S1716" s="1"/>
  <c r="R649"/>
  <c r="N57"/>
  <c r="N56" s="1"/>
  <c r="N137"/>
  <c r="O242"/>
  <c r="O117"/>
  <c r="N676"/>
  <c r="N649" s="1"/>
  <c r="O246"/>
  <c r="O211"/>
  <c r="O199"/>
  <c r="O252"/>
  <c r="O159"/>
  <c r="O205"/>
  <c r="N68" i="3"/>
  <c r="O48"/>
  <c r="O38"/>
  <c r="N248" i="2"/>
  <c r="M247"/>
  <c r="J304"/>
  <c r="K304"/>
  <c r="L304"/>
  <c r="M35"/>
  <c r="M27" s="1"/>
  <c r="M304" s="1"/>
  <c r="R27"/>
  <c r="R304" s="1"/>
  <c r="M288"/>
  <c r="M287" s="1"/>
  <c r="N37"/>
  <c r="S26" i="1"/>
  <c r="S87" s="1"/>
  <c r="N87"/>
  <c r="R26"/>
  <c r="R87" s="1"/>
  <c r="I2901" i="6" l="1"/>
  <c r="I2896"/>
  <c r="Q1519"/>
  <c r="Q54" s="1"/>
  <c r="Q2887" s="1"/>
  <c r="M1509"/>
  <c r="M416" s="1"/>
  <c r="Y1510"/>
  <c r="K2889"/>
  <c r="X2889" s="1"/>
  <c r="K2901"/>
  <c r="Y9"/>
  <c r="M340"/>
  <c r="X1712"/>
  <c r="Y1712" s="1"/>
  <c r="X340"/>
  <c r="Y340" s="1"/>
  <c r="L1519"/>
  <c r="L54" s="1"/>
  <c r="L2887" s="1"/>
  <c r="X1546"/>
  <c r="Y1546" s="1"/>
  <c r="X2018"/>
  <c r="Y2018" s="1"/>
  <c r="J1943"/>
  <c r="M2106"/>
  <c r="Y2106" s="1"/>
  <c r="N38" i="4"/>
  <c r="N1716" s="1"/>
  <c r="L2901" i="6" l="1"/>
  <c r="L2889"/>
  <c r="J416"/>
  <c r="X416" s="1"/>
  <c r="Y416" s="1"/>
  <c r="X1943"/>
  <c r="Y1943" s="1"/>
  <c r="M1519"/>
  <c r="J1519"/>
  <c r="M54"/>
  <c r="M2887" s="1"/>
  <c r="M2889" l="1"/>
  <c r="Y2889" s="1"/>
  <c r="M2904"/>
  <c r="Y2904" s="1"/>
  <c r="I2891"/>
  <c r="I2893" s="1"/>
  <c r="M2892"/>
  <c r="Y2892" s="1"/>
  <c r="M2901"/>
  <c r="X1519"/>
  <c r="Y1519" s="1"/>
  <c r="J54"/>
  <c r="X54" l="1"/>
  <c r="Y54" s="1"/>
  <c r="J2887"/>
  <c r="X2887" l="1"/>
  <c r="Y2887" s="1"/>
  <c r="J2901"/>
  <c r="X2901" s="1"/>
  <c r="Y2901" s="1"/>
</calcChain>
</file>

<file path=xl/comments1.xml><?xml version="1.0" encoding="utf-8"?>
<comments xmlns="http://schemas.openxmlformats.org/spreadsheetml/2006/main">
  <authors>
    <author>hmalazzab</author>
  </authors>
  <commentList>
    <comment ref="B754" authorId="0" guid="{F74F744C-4034-486F-AB77-ABD5CCF0F169}">
      <text>
        <r>
          <rPr>
            <b/>
            <sz val="9"/>
            <color indexed="81"/>
            <rFont val="Tahoma"/>
            <family val="2"/>
          </rPr>
          <t>hmalazzab:</t>
        </r>
        <r>
          <rPr>
            <sz val="9"/>
            <color indexed="81"/>
            <rFont val="Tahoma"/>
            <family val="2"/>
          </rPr>
          <t xml:space="preserve">
Sept. 05, 2012 - date encoded 93-105</t>
        </r>
      </text>
    </comment>
  </commentList>
</comments>
</file>

<file path=xl/sharedStrings.xml><?xml version="1.0" encoding="utf-8"?>
<sst xmlns="http://schemas.openxmlformats.org/spreadsheetml/2006/main" count="16436" uniqueCount="6578">
  <si>
    <t>(amounts in thousand pesos)</t>
  </si>
  <si>
    <t>Other Details</t>
  </si>
  <si>
    <t xml:space="preserve">SARO NO. </t>
  </si>
  <si>
    <t>DATE 
ISSUED</t>
  </si>
  <si>
    <t>APPRO
(GAA)</t>
  </si>
  <si>
    <t>TOTAL</t>
  </si>
  <si>
    <t>REMARKS</t>
  </si>
  <si>
    <t>GAA/Page #</t>
  </si>
  <si>
    <t>PS</t>
  </si>
  <si>
    <t>MOOE</t>
  </si>
  <si>
    <t>CO</t>
  </si>
  <si>
    <t>OSEC</t>
  </si>
  <si>
    <t>RA 10147 p. 748</t>
  </si>
  <si>
    <t>For the implementation of the Nationwide Disaster Risk, Exposure,   Assessment and Mitigation</t>
  </si>
  <si>
    <t>E-11-02253</t>
  </si>
  <si>
    <t>DAP 2</t>
  </si>
  <si>
    <t>Realignment</t>
  </si>
  <si>
    <t>E-11-02386</t>
  </si>
  <si>
    <t>RA 10147, p. 12</t>
  </si>
  <si>
    <t>E-11-02254</t>
  </si>
  <si>
    <t>RA 10147, p. 771</t>
  </si>
  <si>
    <t>E-11-02384</t>
  </si>
  <si>
    <t xml:space="preserve">   Scholarship Program</t>
  </si>
  <si>
    <t>G-13-01166</t>
  </si>
  <si>
    <t>G-13-01167</t>
  </si>
  <si>
    <t>DOST</t>
  </si>
  <si>
    <t>C-11-02272</t>
  </si>
  <si>
    <t>OP</t>
  </si>
  <si>
    <t>Other Various Local Projects</t>
  </si>
  <si>
    <t>E-11-02262</t>
  </si>
  <si>
    <t>RA 10147, p.28</t>
  </si>
  <si>
    <t>DA</t>
  </si>
  <si>
    <t>C-11-02096</t>
  </si>
  <si>
    <t>RA 10147, p. 430</t>
  </si>
  <si>
    <t>DOF</t>
  </si>
  <si>
    <t>BOC</t>
  </si>
  <si>
    <t>D-11-02242</t>
  </si>
  <si>
    <t>RA 10147, p. 483</t>
  </si>
  <si>
    <t>DILG</t>
  </si>
  <si>
    <t>D-11-02230</t>
  </si>
  <si>
    <t>RA 9970, p 505</t>
  </si>
  <si>
    <t>D-11-02231</t>
  </si>
  <si>
    <t>RA 9970, p 506</t>
  </si>
  <si>
    <t xml:space="preserve">A.III.a.1.b.6 </t>
  </si>
  <si>
    <t>D-11-02232</t>
  </si>
  <si>
    <t>D-11-02233</t>
  </si>
  <si>
    <t>D-11-02234</t>
  </si>
  <si>
    <t>D-11-02235</t>
  </si>
  <si>
    <t>D-11-02236</t>
  </si>
  <si>
    <t>D-11-02237</t>
  </si>
  <si>
    <t>D-11-02238</t>
  </si>
  <si>
    <t>D-11-02239</t>
  </si>
  <si>
    <t>PNP</t>
  </si>
  <si>
    <t>PSG</t>
  </si>
  <si>
    <t>Upgrading of the Malacañang communication system</t>
  </si>
  <si>
    <t>D-11-02243</t>
  </si>
  <si>
    <t>RA 10147, p.575</t>
  </si>
  <si>
    <t>DND</t>
  </si>
  <si>
    <t>Various Priority Infrastructure Projects</t>
  </si>
  <si>
    <t>A-11-02257</t>
  </si>
  <si>
    <t>Urban Renewal, Traffic Mgt. Flood Control (Phase I) - MMDA</t>
  </si>
  <si>
    <t>RA 10147 p. 731</t>
  </si>
  <si>
    <t>Priority Flood Control Projects - MMDA</t>
  </si>
  <si>
    <t>Permanent Maguiling Bridge Project - DPWH</t>
  </si>
  <si>
    <t>CHED - Infrastructure and Facilities Upgrading/Modernizing HE Facilities to Upgrade Developing SUCs</t>
  </si>
  <si>
    <t>DPWH</t>
  </si>
  <si>
    <t>A-11-01969</t>
  </si>
  <si>
    <t>RA 10147 p. 730</t>
  </si>
  <si>
    <t>B-11-02264</t>
  </si>
  <si>
    <t>RA 10147 p. 791</t>
  </si>
  <si>
    <t>DSWD</t>
  </si>
  <si>
    <t>BSGC</t>
  </si>
  <si>
    <t>F-11-02258</t>
  </si>
  <si>
    <t>LLDA</t>
  </si>
  <si>
    <t xml:space="preserve"> NG equity to LLDA for the infrastructure upgrade and devt. program</t>
  </si>
  <si>
    <t>F-11-02245</t>
  </si>
  <si>
    <t>RA 10147 p. 972</t>
  </si>
  <si>
    <t>F-11-02246</t>
  </si>
  <si>
    <t>DAP</t>
  </si>
  <si>
    <t>F-11-02248</t>
  </si>
  <si>
    <t>F-11-02247</t>
  </si>
  <si>
    <t>F-11-02260</t>
  </si>
  <si>
    <t>F-11-02250</t>
  </si>
  <si>
    <t>F-11-02259</t>
  </si>
  <si>
    <t>RA 10147, p. 972</t>
  </si>
  <si>
    <t>F-11-02261</t>
  </si>
  <si>
    <t xml:space="preserve">For MMDA's outstanding and unpaid obligations for solid waste collection  </t>
  </si>
  <si>
    <t>NCR-11-0033</t>
  </si>
  <si>
    <t>RA 10147, p. 980</t>
  </si>
  <si>
    <t>ALGU-MMDA</t>
  </si>
  <si>
    <t>RELEASES</t>
  </si>
  <si>
    <t>APPRO SOURCE</t>
  </si>
  <si>
    <t>NIA-NG counterpart to finance the investment requirement of the Jalaur River Multi-purpose Stage II</t>
  </si>
  <si>
    <t>NDA-For Dairy Enterprise Devt. Program</t>
  </si>
  <si>
    <t>NEA-For the sitio electrification and brgy. Line enhancement project (other various LP)</t>
  </si>
  <si>
    <t>TRC-Livelihood training and development progrAM (other various LP)</t>
  </si>
  <si>
    <t>F-11-02249</t>
  </si>
  <si>
    <t>DAP  2</t>
  </si>
  <si>
    <t>RA 10147, p. 967</t>
  </si>
  <si>
    <t>PIDS-For the implementation of the grants-in-aid for research, development and extension component under the institutional capacity building   program of leading state universities to be implemented by the   PIDS and the CHED (Institutional Capacity Building)</t>
  </si>
  <si>
    <t>DAP-For the implementation of the Executive Development - Training of SUCS President/ Executive Training of SUCs Officials to be jointly   implemented by DAP and the CHED</t>
  </si>
  <si>
    <t xml:space="preserve">For the project: "Establishment of the Advanced  Failure Analysis  Laboratory </t>
  </si>
  <si>
    <t xml:space="preserve">RA 10147 </t>
  </si>
  <si>
    <t>RA 10147</t>
  </si>
  <si>
    <t>RA 9970</t>
  </si>
  <si>
    <t>RA 10155</t>
  </si>
  <si>
    <t>Special Capacity Building Project for POs/NGOs</t>
  </si>
  <si>
    <t>Additional reqt. for the repair/rehab/construction of FMR to be transferred to DPWH</t>
  </si>
  <si>
    <t>PFDA-For the establishment amd operation of fishing port complexes  and other structures related to the fishing industry nationwide (other various LP)</t>
  </si>
  <si>
    <t>IT Infrastructure Maintenance Project</t>
  </si>
  <si>
    <t>Overall
Savings</t>
  </si>
  <si>
    <t>Restoration/rehab. of various rooms in Malacañang Palace</t>
  </si>
  <si>
    <t>PCIEETRD</t>
  </si>
  <si>
    <t>STATUS</t>
  </si>
  <si>
    <t>Other Details (leave blank if none)</t>
  </si>
  <si>
    <t>Remarks</t>
  </si>
  <si>
    <t>Logistical Services</t>
  </si>
  <si>
    <t>D-13-01182</t>
  </si>
  <si>
    <t>DAP 6</t>
  </si>
  <si>
    <t>RA 10352, p. 644</t>
  </si>
  <si>
    <t>Capability Enhancement Program</t>
  </si>
  <si>
    <t>RA 10352, p. 641</t>
  </si>
  <si>
    <t>Various Infrastructure including Local Projects</t>
  </si>
  <si>
    <t>A-13-01121</t>
  </si>
  <si>
    <t>RA 10352, p. 996</t>
  </si>
  <si>
    <t>A-13-01138</t>
  </si>
  <si>
    <t>A-13-01134</t>
  </si>
  <si>
    <t>URGENT/CRITICAL PROJECTS</t>
  </si>
  <si>
    <t>DOT</t>
  </si>
  <si>
    <t>Domestic Tourism Promotion</t>
  </si>
  <si>
    <t>A-13-01168</t>
  </si>
  <si>
    <t>RA 10352 p. 1107</t>
  </si>
  <si>
    <t>Financial Assistance - KALAHI-CIDSS MCC</t>
  </si>
  <si>
    <t>B-13-01142</t>
  </si>
  <si>
    <t>RA 10352</t>
  </si>
  <si>
    <t>UF-SIPSP</t>
  </si>
  <si>
    <t>Support for Infrastructure Projects &amp; Social Programs</t>
  </si>
  <si>
    <t>DepEd</t>
  </si>
  <si>
    <t>DSWD-OSEC</t>
  </si>
  <si>
    <t>DOH</t>
  </si>
  <si>
    <t>DOLE</t>
  </si>
  <si>
    <t>DTI</t>
  </si>
  <si>
    <t>CHED</t>
  </si>
  <si>
    <t>NHA</t>
  </si>
  <si>
    <t>RA 10352, p.1087</t>
  </si>
  <si>
    <t>Releases</t>
  </si>
  <si>
    <t>RA 10147, p. 957</t>
  </si>
  <si>
    <t>RA 9970 p. 946</t>
  </si>
  <si>
    <t>Disbursement</t>
  </si>
  <si>
    <t>Actual Outputs</t>
  </si>
  <si>
    <t>DPWH-OSEC</t>
  </si>
  <si>
    <t>Budget Deficit for the Secondary National Road Project of Millennium Challenge Account-Phils (MCA-P) under  the Compact between the US Govt and the GPH Secondary National Road Project</t>
  </si>
  <si>
    <t>A-12-01427</t>
  </si>
  <si>
    <t>DAP 5</t>
  </si>
  <si>
    <t>RA 10155, p. 909</t>
  </si>
  <si>
    <t>Roads, Highways, Bridges, Flood Controls Buildings - Other Structure</t>
  </si>
  <si>
    <t>A-12-01442</t>
  </si>
  <si>
    <t>DILG-OSEC</t>
  </si>
  <si>
    <t>Local Governance Peformance Management Program - Performance-Based Challenge Fund for LGUs</t>
  </si>
  <si>
    <t>D-12-01414</t>
  </si>
  <si>
    <t>RA 10155, p.575</t>
  </si>
  <si>
    <t>DND-AFP-PAF</t>
  </si>
  <si>
    <t>D-12-01421</t>
  </si>
  <si>
    <t>Rehabilitation of the Air Education and Training Command</t>
  </si>
  <si>
    <t>RA 10155, p. 702</t>
  </si>
  <si>
    <t>DA-OSEC</t>
  </si>
  <si>
    <t xml:space="preserve">   Financial Assistance for livelihood programs</t>
  </si>
  <si>
    <t>G-13-00533</t>
  </si>
  <si>
    <t>RA 10155, p. 58</t>
  </si>
  <si>
    <t>DEPED-OSEC</t>
  </si>
  <si>
    <t xml:space="preserve"> Construction of school buildings</t>
  </si>
  <si>
    <t>G-13-00305</t>
  </si>
  <si>
    <t>RA 10155 p. 262</t>
  </si>
  <si>
    <t xml:space="preserve">  Alternative Learning System</t>
  </si>
  <si>
    <t>G-13-00932</t>
  </si>
  <si>
    <t>RA 10155 p. 112</t>
  </si>
  <si>
    <t>SUCs</t>
  </si>
  <si>
    <t>BSU</t>
  </si>
  <si>
    <t>G-13-00664</t>
  </si>
  <si>
    <t>RA 10155, p. 349</t>
  </si>
  <si>
    <t>JRMSU</t>
  </si>
  <si>
    <t xml:space="preserve">Scholarship Program </t>
  </si>
  <si>
    <t>G-13-00518</t>
  </si>
  <si>
    <t>RA 10155, p. 404</t>
  </si>
  <si>
    <t>NOSU</t>
  </si>
  <si>
    <t>G-13-00542</t>
  </si>
  <si>
    <t>RA 10155, p. 387</t>
  </si>
  <si>
    <t>PSCA</t>
  </si>
  <si>
    <t>G-13-00541</t>
  </si>
  <si>
    <t>RA 10155, p. 313</t>
  </si>
  <si>
    <t>UPS</t>
  </si>
  <si>
    <t>G-13-00303</t>
  </si>
  <si>
    <t>RA 10155 p. 317</t>
  </si>
  <si>
    <t>G-13-00396</t>
  </si>
  <si>
    <t>G-13-00449</t>
  </si>
  <si>
    <t>G-13-00716</t>
  </si>
  <si>
    <t>Western Visayas State University</t>
  </si>
  <si>
    <t>G-13-00611</t>
  </si>
  <si>
    <t>Continuing</t>
  </si>
  <si>
    <t>RA 10155 p. 383</t>
  </si>
  <si>
    <t>G-13-00532</t>
  </si>
  <si>
    <t>BMC - Financial assistance for indigent patients</t>
  </si>
  <si>
    <t>G-13-00453</t>
  </si>
  <si>
    <t>RA 10155, p. 558</t>
  </si>
  <si>
    <t>EAMC - Financial assistance for indigent patients</t>
  </si>
  <si>
    <t>G-13-00937</t>
  </si>
  <si>
    <t>RA 10155, p. 554</t>
  </si>
  <si>
    <t>EVRMC - Financial assistance for indigent patients</t>
  </si>
  <si>
    <t>G-13-00443</t>
  </si>
  <si>
    <t>RA 10155, p. 560</t>
  </si>
  <si>
    <t>JFMH - Financial assistance for indigent patients</t>
  </si>
  <si>
    <t>G-13-00713</t>
  </si>
  <si>
    <t>JRRMC - Financial assistance for indigent patients</t>
  </si>
  <si>
    <t>G-13-00715</t>
  </si>
  <si>
    <t>G-13-00938</t>
  </si>
  <si>
    <t>LPGHSTC - Financial assistance for indigent patients</t>
  </si>
  <si>
    <t>G-13-00712</t>
  </si>
  <si>
    <t>RA 10155, p. 555</t>
  </si>
  <si>
    <t>SLH - Financial assistance for indigent patients</t>
  </si>
  <si>
    <t>G-13-00714</t>
  </si>
  <si>
    <t>WVMC - Financial assistance for indigent patients</t>
  </si>
  <si>
    <t>G-13-00612</t>
  </si>
  <si>
    <t>ZCMC - Financial assistance for indigent patients</t>
  </si>
  <si>
    <t>G-13-00854</t>
  </si>
  <si>
    <t>TESDA</t>
  </si>
  <si>
    <t>Training Program</t>
  </si>
  <si>
    <t>G-13-00620</t>
  </si>
  <si>
    <t>RA 10155, p. 671</t>
  </si>
  <si>
    <t>Skills Training and Livelihood Program</t>
  </si>
  <si>
    <t>G-13-00538</t>
  </si>
  <si>
    <t>Training and Livelihood Program</t>
  </si>
  <si>
    <t>G-13-00878</t>
  </si>
  <si>
    <t>Training and Skills Development</t>
  </si>
  <si>
    <t>B-13-01189</t>
  </si>
  <si>
    <t>RA 10155 p. 669</t>
  </si>
  <si>
    <t>Various Infra including Local Roads</t>
  </si>
  <si>
    <t>A-13-00069 to 
A-13-00079</t>
  </si>
  <si>
    <t>RA 10155, p.909</t>
  </si>
  <si>
    <t>A-13-00092 to 
A-13-00116</t>
  </si>
  <si>
    <t>A-13-00263 to 
A-13-00285</t>
  </si>
  <si>
    <t>A-13-00315 to
A-13-00322</t>
  </si>
  <si>
    <t>A-13-00334 to 
A-13-00336</t>
  </si>
  <si>
    <t>A-13-00290 to 
A-13-00291</t>
  </si>
  <si>
    <t>A-13-00289</t>
  </si>
  <si>
    <t>A-13-00338 to 
A-13-00391</t>
  </si>
  <si>
    <t>A-13-00429</t>
  </si>
  <si>
    <t>A-13-00439 to 
A-13-00442</t>
  </si>
  <si>
    <t>A-13-00456</t>
  </si>
  <si>
    <t>A-13-00586</t>
  </si>
  <si>
    <t>A-13-00482 to 
A-13-00488</t>
  </si>
  <si>
    <t>A-13-00509 to 
A-13-00511</t>
  </si>
  <si>
    <t>A-13-00514 to 
A-13-00517</t>
  </si>
  <si>
    <t>A-13-00591 to 
A-13-00594</t>
  </si>
  <si>
    <t>A-13-00548 to 
A-13-00580</t>
  </si>
  <si>
    <t>A-13-00585</t>
  </si>
  <si>
    <t>A-13-00595 to 
A-13-00600</t>
  </si>
  <si>
    <t>A-13-00604 to 
A-13-00607</t>
  </si>
  <si>
    <t>A-13-00632 to 
A-13-00651</t>
  </si>
  <si>
    <t>A-13-00674</t>
  </si>
  <si>
    <t>A-13-00630 to 
A-13-00631</t>
  </si>
  <si>
    <t>A-13-00682</t>
  </si>
  <si>
    <t>G-13-00851</t>
  </si>
  <si>
    <t>A-13-00751</t>
  </si>
  <si>
    <t>A-13-00764 to 
A-13-00767</t>
  </si>
  <si>
    <t>A-13-00769 to 
A-13-00848</t>
  </si>
  <si>
    <t>A-13-00870; 
A-13-00874 to 
A-13-00876</t>
  </si>
  <si>
    <t>A-13-00944</t>
  </si>
  <si>
    <t>A-13-00949 to 
A-13-00952</t>
  </si>
  <si>
    <t>A-13-01026 to 
A-13-01028</t>
  </si>
  <si>
    <t>Various Infra including Local Roads 
  (withdraw A-13-00266)</t>
  </si>
  <si>
    <t>A-13-01086</t>
  </si>
  <si>
    <t>A-13-01087</t>
  </si>
  <si>
    <t>A-13-01094</t>
  </si>
  <si>
    <t>Various Infra including Local Roads 
  (withdraw A-13-00278)</t>
  </si>
  <si>
    <t>A-13-01126</t>
  </si>
  <si>
    <t>A-13-01127</t>
  </si>
  <si>
    <t>Financial assistance for Comprehensive and Integrated    Delivery of Social Services (CIDSS)</t>
  </si>
  <si>
    <t>G-13-00306</t>
  </si>
  <si>
    <t>RA 10155, p. 1002</t>
  </si>
  <si>
    <t>G-13-00330</t>
  </si>
  <si>
    <t>G-13-00332</t>
  </si>
  <si>
    <t>G-13-00445</t>
  </si>
  <si>
    <t>G-13-00490</t>
  </si>
  <si>
    <t>G-13-00528</t>
  </si>
  <si>
    <t>G-13-00680</t>
  </si>
  <si>
    <t>G-13-00733</t>
  </si>
  <si>
    <t>G-13-00734</t>
  </si>
  <si>
    <t>G-13-00853</t>
  </si>
  <si>
    <t>G-13-00933</t>
  </si>
  <si>
    <t>OEO</t>
  </si>
  <si>
    <t>G-13-00329; 
G-13-00331</t>
  </si>
  <si>
    <t>RA 10155, p. 1139</t>
  </si>
  <si>
    <t>G-13-00491</t>
  </si>
  <si>
    <t>G-13-00523</t>
  </si>
  <si>
    <t>G-13-00659</t>
  </si>
  <si>
    <t>G-13-00717</t>
  </si>
  <si>
    <t>NCIP</t>
  </si>
  <si>
    <t>G-13-00931</t>
  </si>
  <si>
    <t>RA 10155, p. 1181</t>
  </si>
  <si>
    <t>NHCP</t>
  </si>
  <si>
    <t>Financial assistance for various priority programs and projects</t>
  </si>
  <si>
    <t>G-13-00501</t>
  </si>
  <si>
    <t>RA 10155, p. 1171</t>
  </si>
  <si>
    <t>ALGU-FSLGU</t>
  </si>
  <si>
    <t>CAR</t>
  </si>
  <si>
    <t>Itogon, Benguet</t>
  </si>
  <si>
    <t>G-13-00247</t>
  </si>
  <si>
    <t>RA 10155, p.1324</t>
  </si>
  <si>
    <t>RO 1</t>
  </si>
  <si>
    <t>Batac City, Ilocos Norte</t>
  </si>
  <si>
    <t>G-13-00248</t>
  </si>
  <si>
    <t>RO 3</t>
  </si>
  <si>
    <t>Brgy. Fortuna, Floridablanca, Pampanga</t>
  </si>
  <si>
    <t>G-13-00249</t>
  </si>
  <si>
    <t>RO 4A</t>
  </si>
  <si>
    <t>Various LGUs</t>
  </si>
  <si>
    <t>G-13-00250</t>
  </si>
  <si>
    <t>RO 4B</t>
  </si>
  <si>
    <t>G-13-00251</t>
  </si>
  <si>
    <t>RO 6</t>
  </si>
  <si>
    <t>G-13-00252</t>
  </si>
  <si>
    <t>RO 8</t>
  </si>
  <si>
    <t>Jiabong, Western Samar</t>
  </si>
  <si>
    <t>G-13-00253</t>
  </si>
  <si>
    <t>RO V</t>
  </si>
  <si>
    <t>Virac, Cantanduanes</t>
  </si>
  <si>
    <t>G-13-00213</t>
  </si>
  <si>
    <t>Various LGUs - Negros Occidental</t>
  </si>
  <si>
    <t>G-13-00299</t>
  </si>
  <si>
    <t>G-13-00300</t>
  </si>
  <si>
    <t>G-13-00301</t>
  </si>
  <si>
    <t>NCR</t>
  </si>
  <si>
    <t>Pateros</t>
  </si>
  <si>
    <t>G-13-00304</t>
  </si>
  <si>
    <t>Pasay City</t>
  </si>
  <si>
    <t>G-13-00307</t>
  </si>
  <si>
    <t>G-13-00333</t>
  </si>
  <si>
    <t>RO 7</t>
  </si>
  <si>
    <t>Bohol</t>
  </si>
  <si>
    <t>G-13-00398</t>
  </si>
  <si>
    <t>RO 11</t>
  </si>
  <si>
    <t>Davao City</t>
  </si>
  <si>
    <t>G-13-00399</t>
  </si>
  <si>
    <t>RO 5</t>
  </si>
  <si>
    <t>Bula, Camarines Sur</t>
  </si>
  <si>
    <t>G-13-00400</t>
  </si>
  <si>
    <t>Teresa, Rizal</t>
  </si>
  <si>
    <t>G-13-00401</t>
  </si>
  <si>
    <t>G-13-00431</t>
  </si>
  <si>
    <t>RO 2</t>
  </si>
  <si>
    <t>G-13-00432</t>
  </si>
  <si>
    <t>G-13-00433</t>
  </si>
  <si>
    <t>G-13-00434</t>
  </si>
  <si>
    <t>Capiz</t>
  </si>
  <si>
    <t>G-13-00435</t>
  </si>
  <si>
    <t>Puerto Princesa, Palawan</t>
  </si>
  <si>
    <t>G-13-00477</t>
  </si>
  <si>
    <t>Casiguran, Sorsogon</t>
  </si>
  <si>
    <t>G-13-00478</t>
  </si>
  <si>
    <t>Lucban, Quezon</t>
  </si>
  <si>
    <t>G-13-00479</t>
  </si>
  <si>
    <t>Quezon</t>
  </si>
  <si>
    <t>G-13-00493</t>
  </si>
  <si>
    <t>G-13-00494</t>
  </si>
  <si>
    <t>Quezon City</t>
  </si>
  <si>
    <t>G-13-00519</t>
  </si>
  <si>
    <t>City of Dasmariñas</t>
  </si>
  <si>
    <t>G-13-00520</t>
  </si>
  <si>
    <t>Benguet</t>
  </si>
  <si>
    <t>G-13-00521</t>
  </si>
  <si>
    <t>Balete, Batangas</t>
  </si>
  <si>
    <t>G-13-00522</t>
  </si>
  <si>
    <t>Bulacan</t>
  </si>
  <si>
    <t>G-13-00524</t>
  </si>
  <si>
    <t>Dilasag, Aurora</t>
  </si>
  <si>
    <t>G-13-00525</t>
  </si>
  <si>
    <t>Apayao</t>
  </si>
  <si>
    <t>G-13-00526</t>
  </si>
  <si>
    <t>Compostela, Compostela Valley</t>
  </si>
  <si>
    <t>G-13-00527</t>
  </si>
  <si>
    <t>RO 10</t>
  </si>
  <si>
    <t>G-13-00529</t>
  </si>
  <si>
    <t>Leon, Iloilo</t>
  </si>
  <si>
    <t>G-13-00531</t>
  </si>
  <si>
    <t>Malabon City</t>
  </si>
  <si>
    <t>G-13-00534</t>
  </si>
  <si>
    <t>Quezon, Nueva Ecija</t>
  </si>
  <si>
    <t>G-13-00539</t>
  </si>
  <si>
    <t>RO 9</t>
  </si>
  <si>
    <t>Parang, Sulu</t>
  </si>
  <si>
    <t>G-13-00540</t>
  </si>
  <si>
    <t>Taysan, Batangas</t>
  </si>
  <si>
    <t>G-13-00665</t>
  </si>
  <si>
    <t>Cebu City</t>
  </si>
  <si>
    <t>G-13-00718</t>
  </si>
  <si>
    <t>G-13-00732</t>
  </si>
  <si>
    <t>G-13-00742</t>
  </si>
  <si>
    <t>Agoo, La Union</t>
  </si>
  <si>
    <t>G-13-00743</t>
  </si>
  <si>
    <t>Sablan, Benguet</t>
  </si>
  <si>
    <t>G-13-00750</t>
  </si>
  <si>
    <t>La Libertad, Negros Oriental</t>
  </si>
  <si>
    <t>G-13-00761</t>
  </si>
  <si>
    <t>G-13-00762</t>
  </si>
  <si>
    <t>G-13-00850</t>
  </si>
  <si>
    <t>Daraga, Albay</t>
  </si>
  <si>
    <t>G-13-00855</t>
  </si>
  <si>
    <t>La trinidad, Benguet</t>
  </si>
  <si>
    <t>G-13-00857</t>
  </si>
  <si>
    <t>Taguig City, Metro Manila</t>
  </si>
  <si>
    <t>G-13-00867</t>
  </si>
  <si>
    <t>Tublay, Benguet</t>
  </si>
  <si>
    <t>G-13-00884</t>
  </si>
  <si>
    <t>G-13-00912</t>
  </si>
  <si>
    <t>Batanes</t>
  </si>
  <si>
    <t>G-13-00930</t>
  </si>
  <si>
    <t>Basilan</t>
  </si>
  <si>
    <t>G-13-00934</t>
  </si>
  <si>
    <t>San Jose del Monte City, Bulacan</t>
  </si>
  <si>
    <t>G-13-00939</t>
  </si>
  <si>
    <t>Pinukpuk, Kalinga</t>
  </si>
  <si>
    <t>G-13-00995</t>
  </si>
  <si>
    <t>G-13-01003</t>
  </si>
  <si>
    <t>Pagadian City, Zamboanga del Sur</t>
  </si>
  <si>
    <t>G-13-01047</t>
  </si>
  <si>
    <t>LD of Eastern Samar</t>
  </si>
  <si>
    <t>G-13-01136</t>
  </si>
  <si>
    <t>LCP</t>
  </si>
  <si>
    <t xml:space="preserve"> Financial assistance for indigent patients</t>
  </si>
  <si>
    <t>G-13-00452</t>
  </si>
  <si>
    <t>RA 10155 p. 1294</t>
  </si>
  <si>
    <t>G-13-00936</t>
  </si>
  <si>
    <t xml:space="preserve"> Financial assistance for the construction of 50 housing units</t>
  </si>
  <si>
    <t>G-13-01096</t>
  </si>
  <si>
    <t>RA 10155, p. 1311</t>
  </si>
  <si>
    <t>NKTI</t>
  </si>
  <si>
    <t>G-13-00451</t>
  </si>
  <si>
    <t>RA 10155 p. 1295</t>
  </si>
  <si>
    <t>G-13-00530</t>
  </si>
  <si>
    <t>G-13-00711</t>
  </si>
  <si>
    <t>G-13-00748</t>
  </si>
  <si>
    <t>G-13-00914</t>
  </si>
  <si>
    <t>PHC</t>
  </si>
  <si>
    <t>G-13-00450</t>
  </si>
  <si>
    <t>RA 10155, p. 1297</t>
  </si>
  <si>
    <t>G-13-00749</t>
  </si>
  <si>
    <t>G-13-00913</t>
  </si>
  <si>
    <t>G-13-00935</t>
  </si>
  <si>
    <t>PHIC</t>
  </si>
  <si>
    <t xml:space="preserve"> Financial assistance - Health Insurance Program</t>
  </si>
  <si>
    <t>G-13-00444</t>
  </si>
  <si>
    <t>RA 10155, p. 1315</t>
  </si>
  <si>
    <t>G-13-00492</t>
  </si>
  <si>
    <t>TPB</t>
  </si>
  <si>
    <t>Tourism Media Advertising Campaign</t>
  </si>
  <si>
    <t>F-12-01425</t>
  </si>
  <si>
    <t>RA 10155, p. 1299</t>
  </si>
  <si>
    <t xml:space="preserve"> NEDA-ODG</t>
  </si>
  <si>
    <t>C-13-00205</t>
  </si>
  <si>
    <t>RA 10155, p. 1088</t>
  </si>
  <si>
    <t>RO I</t>
  </si>
  <si>
    <t>C-13-00206</t>
  </si>
  <si>
    <t>RO II</t>
  </si>
  <si>
    <t>C-13-00207</t>
  </si>
  <si>
    <t>RO III</t>
  </si>
  <si>
    <t>C-13-00208</t>
  </si>
  <si>
    <t>RO IX</t>
  </si>
  <si>
    <t>C-13-00209</t>
  </si>
  <si>
    <t>RO X</t>
  </si>
  <si>
    <t>C-13-00210</t>
  </si>
  <si>
    <t>RO XIII</t>
  </si>
  <si>
    <t>C-13-00211</t>
  </si>
  <si>
    <t>C-13-01199</t>
  </si>
  <si>
    <t>RA 10155, p. 1087</t>
  </si>
  <si>
    <t>Additional Funds to Support Unfunded Requirements to address its current capability gap</t>
  </si>
  <si>
    <t>RA 10155, p.702</t>
  </si>
  <si>
    <t>OEO-OPAPP (transferred to OEO in 2013)</t>
  </si>
  <si>
    <t>Implementation of the Peace Process Activities</t>
  </si>
  <si>
    <t>C-13-00426</t>
  </si>
  <si>
    <t>RA 10155, p.1195</t>
  </si>
  <si>
    <t>Farm-to-Market Road Projects - DA-RFU CAR</t>
  </si>
  <si>
    <t>E-13-00945</t>
  </si>
  <si>
    <t>RA 10155, p.48</t>
  </si>
  <si>
    <t>Farm-to-Market Road Projects - For the implementation of Small Water Impounding Projects - FMR in DA-RFU XII</t>
  </si>
  <si>
    <t>E-13-00981</t>
  </si>
  <si>
    <t>RA 10155, p.48, 57</t>
  </si>
  <si>
    <t>Various Infrastructure including Local Roads</t>
  </si>
  <si>
    <t>A-13-01119</t>
  </si>
  <si>
    <t>DOF-BSP</t>
  </si>
  <si>
    <t>F-12-01424</t>
  </si>
  <si>
    <t>RA 10155 p. 1315</t>
  </si>
  <si>
    <t>F-12-01423</t>
  </si>
  <si>
    <t>NAP</t>
  </si>
  <si>
    <t>B-13-01195</t>
  </si>
  <si>
    <t>RA 10155, p. 1177</t>
  </si>
  <si>
    <t>SARO-BMB-B-12-0033378</t>
  </si>
  <si>
    <t>RA 10155 p. 295</t>
  </si>
  <si>
    <t>DA-NFA</t>
  </si>
  <si>
    <t>SARO-BMB-F-12-0034950</t>
  </si>
  <si>
    <t>RA 10155 p. 1371</t>
  </si>
  <si>
    <t>SARO-BMB-A-12-0034766</t>
  </si>
  <si>
    <t>RA 10155 p. 1018</t>
  </si>
  <si>
    <t>B-13-00960</t>
  </si>
  <si>
    <t>DAP 3</t>
  </si>
  <si>
    <t>RA 10155, p. 641</t>
  </si>
  <si>
    <t>Tulong Panghanapbuhay sa Ating Disadvantaged (TUPAD  Workers)</t>
  </si>
  <si>
    <t>100% completion concreting of road in Teresa, Rizal</t>
  </si>
  <si>
    <t>Awaiting submission of pertinent reports from the agency</t>
  </si>
  <si>
    <t>612 Guarantee letters</t>
  </si>
  <si>
    <t>No guarantee letters yet from legislator Joker Arroyo</t>
  </si>
  <si>
    <t>No guarantee letters yet from legislator Henedina Abad</t>
  </si>
  <si>
    <t>No guarantee letters yet from legislator R. Relampagos</t>
  </si>
  <si>
    <t>APPRO. SOURCE</t>
  </si>
  <si>
    <t>GOCCs and GFIs</t>
  </si>
  <si>
    <t>LRTA</t>
  </si>
  <si>
    <t>Rehabilitation of LRT 1 and 2 including replacement of cars</t>
  </si>
  <si>
    <t>F-11-01568</t>
  </si>
  <si>
    <t>DAP 1</t>
  </si>
  <si>
    <t>SARO-BMB-F-11-0025667</t>
  </si>
  <si>
    <t>UF-RA 10147 p. 1014</t>
  </si>
  <si>
    <t>F-11-01836</t>
  </si>
  <si>
    <t xml:space="preserve"> Upgrading/acquisition of medical equipment/laboratories</t>
  </si>
  <si>
    <t>F-11-01484</t>
  </si>
  <si>
    <t>RA 9970 p. 934</t>
  </si>
  <si>
    <t>CIC</t>
  </si>
  <si>
    <t>Operational requirements of CIC</t>
  </si>
  <si>
    <t>F-11-01570</t>
  </si>
  <si>
    <t>F-11-01571</t>
  </si>
  <si>
    <t>F-11-01478</t>
  </si>
  <si>
    <t>RA 9970 p. 939</t>
  </si>
  <si>
    <t>F-11-01483</t>
  </si>
  <si>
    <t>RA 9970 p. 943</t>
  </si>
  <si>
    <t>F-11-01490</t>
  </si>
  <si>
    <t>PPC</t>
  </si>
  <si>
    <t>F-11-01652</t>
  </si>
  <si>
    <t>F-11-01653</t>
  </si>
  <si>
    <t>F-11-01569</t>
  </si>
  <si>
    <t>PCMC</t>
  </si>
  <si>
    <t>F-11-01489</t>
  </si>
  <si>
    <t>RA 9970 p. 933</t>
  </si>
  <si>
    <t>TIDCORP</t>
  </si>
  <si>
    <t>Unpaid Equity Infusion of the NG to TIDCORP</t>
  </si>
  <si>
    <t>F-11-01563</t>
  </si>
  <si>
    <t>General Management and Supervision</t>
  </si>
  <si>
    <t>F-11-01482</t>
  </si>
  <si>
    <t>RA 10147 p. 960</t>
  </si>
  <si>
    <t xml:space="preserve">        Financial assistance for indigent patients </t>
  </si>
  <si>
    <t>G-11-01978</t>
  </si>
  <si>
    <t>G-11-01599</t>
  </si>
  <si>
    <t>G-11-01696</t>
  </si>
  <si>
    <t>G-11-02353</t>
  </si>
  <si>
    <t>NGAs/LGUs</t>
  </si>
  <si>
    <t>DOF-BIR</t>
  </si>
  <si>
    <t>C-11-01470</t>
  </si>
  <si>
    <t>RA 10147, p. 433</t>
  </si>
  <si>
    <t xml:space="preserve">Additional funding of the NPSTAR Project </t>
  </si>
  <si>
    <t>C-11-01477</t>
  </si>
  <si>
    <t>RA 10147, p. 436</t>
  </si>
  <si>
    <t>COA</t>
  </si>
  <si>
    <t>C-11-01740</t>
  </si>
  <si>
    <t>RA 10147 p. 939</t>
  </si>
  <si>
    <t>On-Base Housing Facilities and Communication Equipment</t>
  </si>
  <si>
    <t>DND-PAF</t>
  </si>
  <si>
    <t>D-11-01459</t>
  </si>
  <si>
    <t>RA 10147, p.570</t>
  </si>
  <si>
    <t>PN</t>
  </si>
  <si>
    <t>Housing projects at 5 naval bases/stations</t>
  </si>
  <si>
    <t>D-11-02003</t>
  </si>
  <si>
    <t>The project was not undertaken in view of the proximity of the approval of the realignment to the closing of the books on Dec.  31, 2012. The fund was reverted to the BTr</t>
  </si>
  <si>
    <t>Irrigation, Farm-to-Market Roads and Integrated Community-Based Multi-species Hatchery and Aquasilvi Farming</t>
  </si>
  <si>
    <t>NIA - Construction, Repair/Rehabilitation of New/Existing NIA Assisted Irrigation Systems (CRRNENIAAIS)</t>
  </si>
  <si>
    <t>E-11-01487</t>
  </si>
  <si>
    <t>RA 10147 p. 28</t>
  </si>
  <si>
    <t>E-11-02092</t>
  </si>
  <si>
    <t>Mangrove Rehabilitation/ Aquasilviculture and Community-Based Multi-Species Hatchery Projects</t>
  </si>
  <si>
    <t>E-11-01486</t>
  </si>
  <si>
    <t>RA 10147 p. 41</t>
  </si>
  <si>
    <t>DPWH - Farm to Market Roads (From DA)</t>
  </si>
  <si>
    <t>A-11-01560</t>
  </si>
  <si>
    <t>DA-OSEC-NIA - Agno River Integrated Irrigation Project (ARIIP)</t>
  </si>
  <si>
    <t>E-11-01488</t>
  </si>
  <si>
    <t>RA 10147 p. 30</t>
  </si>
  <si>
    <t xml:space="preserve"> DA-OSEC Proper-Mindanao Rural Development Project 2 (MRDP2)
  </t>
  </si>
  <si>
    <t>E-11-01485</t>
  </si>
  <si>
    <t>Agrarian Reform Communities Project 2 (ARCP 2)</t>
  </si>
  <si>
    <t>DAR-OSEC</t>
  </si>
  <si>
    <t>SARO-BMB-E-11-0022756</t>
  </si>
  <si>
    <t>UF</t>
  </si>
  <si>
    <t>Conduct of National Survey of Farmers/Fisherfolks/IPs</t>
  </si>
  <si>
    <t>DBM</t>
  </si>
  <si>
    <t>Initial implementation of the Registry System for Basic Sectors in Agriculture Project (RSBSA)</t>
  </si>
  <si>
    <t>C-11-01468</t>
  </si>
  <si>
    <t xml:space="preserve">       Withdrawal, C-11-01468</t>
  </si>
  <si>
    <t>SARO-BMB-C-11-0027642</t>
  </si>
  <si>
    <t>NEDA-NSO</t>
  </si>
  <si>
    <t>SARO-BMB-C-11-0027666</t>
  </si>
  <si>
    <t>DOJ-Operating Requirements of 50 Investigation Agents and 15 attorneys</t>
  </si>
  <si>
    <t>RA 10147, p.509</t>
  </si>
  <si>
    <t>D-11-01461</t>
  </si>
  <si>
    <t>D-11-01462</t>
  </si>
  <si>
    <t>RA 10147, p. 515</t>
  </si>
  <si>
    <t>Preservation of the Cine Corregidor Complex</t>
  </si>
  <si>
    <t>RA 10147 p. 799</t>
  </si>
  <si>
    <t>A-11-01573</t>
  </si>
  <si>
    <t>RA 10147 p. 11</t>
  </si>
  <si>
    <t>OP - OPAPP</t>
  </si>
  <si>
    <t>C-11-01476</t>
  </si>
  <si>
    <t xml:space="preserve"> PAGASA</t>
  </si>
  <si>
    <t>RA 9970 p. 735</t>
  </si>
  <si>
    <t>Establishment of National Meteorological and Climate Center (NMCC)</t>
  </si>
  <si>
    <t>Operation &amp; Maintenance of Meteorological data banks, including the provision of processed agro-climatological information</t>
  </si>
  <si>
    <t>E-11-01475</t>
  </si>
  <si>
    <t>Revised the building and design to comply with the requirements of the Quezon City Tri-Development of the Local Government</t>
  </si>
  <si>
    <t>RA 9970 p. 736</t>
  </si>
  <si>
    <t>Establishment of Doppler Radar Network for National Weather Watch, Accurate Forecasting and Flood Early Warning</t>
  </si>
  <si>
    <t>Operation &amp; Maintenance of Weather Surveillance Radar Network</t>
  </si>
  <si>
    <t>Building of Iloilo and Zamboanga Radars - awarded and is now undergoing construction except for Zamboanga due to the recent security problems</t>
  </si>
  <si>
    <t>Busuanga Building - land still under negotiation with the LGU and native residents</t>
  </si>
  <si>
    <t>BOC - Settlement of principal obligations with PDIC</t>
  </si>
  <si>
    <t>C-11-01467</t>
  </si>
  <si>
    <t>OEOs</t>
  </si>
  <si>
    <t>FDCP</t>
  </si>
  <si>
    <t xml:space="preserve">A.I.a </t>
  </si>
  <si>
    <t>RA 9970, p. 840</t>
  </si>
  <si>
    <t>Establishment of the Nat'l Film Archive and Local Cinematiques of the FDCP</t>
  </si>
  <si>
    <t>B-11-01466</t>
  </si>
  <si>
    <t>Realignment of B-11-01466</t>
  </si>
  <si>
    <t>B-11-01839</t>
  </si>
  <si>
    <t xml:space="preserve">Establishment of local cinematheque </t>
  </si>
  <si>
    <t>B-11-01949</t>
  </si>
  <si>
    <t>Various Infrastructure Projects</t>
  </si>
  <si>
    <t>Payment of nationwide road Right-of-Way claims</t>
  </si>
  <si>
    <t>A-11-01566</t>
  </si>
  <si>
    <t>Quick Response Fund</t>
  </si>
  <si>
    <t>A-11-01496</t>
  </si>
  <si>
    <t>Various projects                             PPP-Batch 1</t>
  </si>
  <si>
    <t>Calamity-related projects</t>
  </si>
  <si>
    <t>A-11-01497</t>
  </si>
  <si>
    <t>A-11-01498</t>
  </si>
  <si>
    <t>A-11-01499</t>
  </si>
  <si>
    <t>A-11-01500</t>
  </si>
  <si>
    <t>A-11-01501</t>
  </si>
  <si>
    <t>A-11-01502</t>
  </si>
  <si>
    <t>A-11-01503</t>
  </si>
  <si>
    <t>A-11-01504</t>
  </si>
  <si>
    <t>A-11-01505</t>
  </si>
  <si>
    <t>A-11-01506</t>
  </si>
  <si>
    <t>A-11-01507</t>
  </si>
  <si>
    <t>A-11-01508</t>
  </si>
  <si>
    <t>A-11-01509</t>
  </si>
  <si>
    <t>A-11-01510</t>
  </si>
  <si>
    <t>A-11-01511</t>
  </si>
  <si>
    <t>A-11-01512</t>
  </si>
  <si>
    <t>A-11-01513</t>
  </si>
  <si>
    <t>A-11-01514</t>
  </si>
  <si>
    <t>A-11-01515</t>
  </si>
  <si>
    <t>A-11-01516</t>
  </si>
  <si>
    <t>A-11-01517</t>
  </si>
  <si>
    <t>A-11-01518</t>
  </si>
  <si>
    <t>A-11-01519</t>
  </si>
  <si>
    <t>A-11-01520</t>
  </si>
  <si>
    <t>A-11-01521</t>
  </si>
  <si>
    <t>A-11-01522</t>
  </si>
  <si>
    <t>A-11-01523</t>
  </si>
  <si>
    <t>A-11-01524</t>
  </si>
  <si>
    <t>A-11-01525</t>
  </si>
  <si>
    <t>A-11-01526</t>
  </si>
  <si>
    <t>A-11-01527</t>
  </si>
  <si>
    <t>A-11-01528</t>
  </si>
  <si>
    <t>A-11-01529</t>
  </si>
  <si>
    <t>A-11-01530</t>
  </si>
  <si>
    <t>A-11-01531</t>
  </si>
  <si>
    <t>A-11-01532</t>
  </si>
  <si>
    <t>A-11-01533</t>
  </si>
  <si>
    <t>A-11-01534</t>
  </si>
  <si>
    <t>A-11-01535</t>
  </si>
  <si>
    <t>A-11-01536</t>
  </si>
  <si>
    <t>A-11-01537</t>
  </si>
  <si>
    <t>A-11-01538</t>
  </si>
  <si>
    <t>A-11-01539</t>
  </si>
  <si>
    <t>A-11-01540</t>
  </si>
  <si>
    <t>A-11-01541</t>
  </si>
  <si>
    <t>A-11-01542</t>
  </si>
  <si>
    <t>A-11-01543</t>
  </si>
  <si>
    <t>A-11-01544</t>
  </si>
  <si>
    <t>A-11-01545</t>
  </si>
  <si>
    <t>A-11-01546</t>
  </si>
  <si>
    <t>A-11-01547</t>
  </si>
  <si>
    <t>A-11-01548</t>
  </si>
  <si>
    <t>A-11-01549</t>
  </si>
  <si>
    <t>A-11-01550</t>
  </si>
  <si>
    <t>A-11-01551</t>
  </si>
  <si>
    <t>A-11-01552</t>
  </si>
  <si>
    <t>A-11-01553</t>
  </si>
  <si>
    <t>A-11-01554</t>
  </si>
  <si>
    <t>A-11-01555</t>
  </si>
  <si>
    <t>A-11-01556</t>
  </si>
  <si>
    <t>A-11-01557</t>
  </si>
  <si>
    <t>Public-Private Partnership (PPP) - Batch 1</t>
  </si>
  <si>
    <t>A-11-01473</t>
  </si>
  <si>
    <t>OSEC - Implementation of the project Thin Cloud Computing System</t>
  </si>
  <si>
    <t>Generation of new knowledge and technologies &amp; research capability building in priority areas identified as strategic to National Development</t>
  </si>
  <si>
    <t>E-11-01474</t>
  </si>
  <si>
    <t>To effect the withdrawal of allotment covered by SARO No. E-11-01474 dated October 18, 2011 intended for the implementation of the project    Thin Cloud Computing System under the DAP</t>
  </si>
  <si>
    <t>E-11-01823</t>
  </si>
  <si>
    <t>ICTO</t>
  </si>
  <si>
    <t xml:space="preserve">   Implementation of the Thin Cloud Computing System Project</t>
  </si>
  <si>
    <t>E-11-01824</t>
  </si>
  <si>
    <t xml:space="preserve"> - Hardware design, development, and building of prototype</t>
  </si>
  <si>
    <t xml:space="preserve"> - Design, development and construction of solar PV power system prototype</t>
  </si>
  <si>
    <t xml:space="preserve"> - Develop-
ment/
Upgrade of firmware/
software</t>
  </si>
  <si>
    <t xml:space="preserve"> - Deployment and installation of Alpha prototypes</t>
  </si>
  <si>
    <t xml:space="preserve"> - Deploy-ment and installation of solar PV power system for Alpha Testing</t>
  </si>
  <si>
    <t xml:space="preserve"> - Develop-
ment of e-learning Management Systems</t>
  </si>
  <si>
    <t xml:space="preserve"> - Deploy-
ment and installation for Alpha Testing</t>
  </si>
  <si>
    <t xml:space="preserve"> - Session manage-
ment for teachers</t>
  </si>
  <si>
    <t xml:space="preserve"> - Provision and delivery of learning/teaching content and resources</t>
  </si>
  <si>
    <t xml:space="preserve"> - Develop training modules and conduct of trainor's training</t>
  </si>
  <si>
    <t xml:space="preserve"> - Develop-
ment of online platforms</t>
  </si>
  <si>
    <t xml:space="preserve"> - Craft and develop training modules for teachers</t>
  </si>
  <si>
    <t xml:space="preserve"> - Assembly of test server components</t>
  </si>
  <si>
    <t xml:space="preserve"> - Conduct of training for teachers</t>
  </si>
  <si>
    <t xml:space="preserve"> - Prepared builds for repository of systems software and learing resources</t>
  </si>
  <si>
    <t xml:space="preserve"> - Testing and deployment of alpha school servers</t>
  </si>
  <si>
    <t xml:space="preserve"> - Initial design and configuration of alpha school servers</t>
  </si>
  <si>
    <t>- Support for alpha schools</t>
  </si>
  <si>
    <t xml:space="preserve"> - Initial design and configuration of cloud servers</t>
  </si>
  <si>
    <t xml:space="preserve"> - Testing and tuning of cloud servers</t>
  </si>
  <si>
    <t xml:space="preserve"> - 2 Pilot schools: Paco (San Rafael, Bulacan), San Jose (Quezon City)</t>
  </si>
  <si>
    <t xml:space="preserve"> - 6 Alpha sites selected and prepared; 2 sites with completed installations (Sampaloc and Tambubong in Bulacan)</t>
  </si>
  <si>
    <t xml:space="preserve"> - 4 sites prepared for installation (San Roque, Longos II and Norzagaray in Bulacan, Kamuning in Quezon City)</t>
  </si>
  <si>
    <t xml:space="preserve"> - Partial evaluation of pilot and Alpha deployments</t>
  </si>
  <si>
    <t xml:space="preserve"> - Preparation of TOR for IP consulting services</t>
  </si>
  <si>
    <t xml:space="preserve"> - Procure-
ment of IP consulting services</t>
  </si>
  <si>
    <t>OSEC - Compensation re: Registered Nurses for Health Enhancement andLocal Service (RNHeals) Program</t>
  </si>
  <si>
    <t>SARO-BMB-B-11-0023629</t>
  </si>
  <si>
    <t>Las Piñas Gen. Hosp. &amp; Satellite Trauma Center</t>
  </si>
  <si>
    <t>VALENZUELA GENERAL HOSPITAL</t>
  </si>
  <si>
    <t>200 RN Heals Hired</t>
  </si>
  <si>
    <t>SAN LORENZO RUIZ SPECIAL HOSP FOR WOMEN</t>
  </si>
  <si>
    <t>DR JOSE N RODRIGUEZ MEM HOSP</t>
  </si>
  <si>
    <t>CORDILLERA</t>
  </si>
  <si>
    <t>BAGUIO GENERAL HOSPITAL AND MEDICAL CENTER</t>
  </si>
  <si>
    <t>CONNER DISTRICT HOSPITAL</t>
  </si>
  <si>
    <t>FAR NORTH GENERAL HOSPITAL AND TRAINING CENTER</t>
  </si>
  <si>
    <t>LUIS HORA MEM REGIONAL HOSP</t>
  </si>
  <si>
    <t>ILOCOS</t>
  </si>
  <si>
    <t>ILOCOS TRAINING AND REGIONAL MEDICAL CENTER</t>
  </si>
  <si>
    <t>MARIANO MARCOS MEM HOSP</t>
  </si>
  <si>
    <t>REGION I MEDICAL CENTER</t>
  </si>
  <si>
    <t>CAGAYAN</t>
  </si>
  <si>
    <t>CAGAYAN VALLEY MEDICAL CENTER</t>
  </si>
  <si>
    <t>SOUTHERN ISABELA GENERAL HOSPITAL</t>
  </si>
  <si>
    <t>VETERANS REGIONAL HOSPITAL</t>
  </si>
  <si>
    <t>BATANES GENERAL HOSPITAL</t>
  </si>
  <si>
    <t>CENTRAL LUZON</t>
  </si>
  <si>
    <t>MARIVELES MENTAL HOSPITAL</t>
  </si>
  <si>
    <t>BATAAN GENERAL HOSPITAL</t>
  </si>
  <si>
    <t>TALAVERA EXTENSION HOSPITAL</t>
  </si>
  <si>
    <t>DR PAULINO GARCIA MEM RESEARCH AND MEDICAL CENTER</t>
  </si>
  <si>
    <t>2 months stipend for 300 RN Heals</t>
  </si>
  <si>
    <t>JOSE B LINGAD MEMORIAL HOSPITAL</t>
  </si>
  <si>
    <t>CALABARZON</t>
  </si>
  <si>
    <t>BATANGAS REGIONAL HOSPITAL</t>
  </si>
  <si>
    <t>MIMAROPA</t>
  </si>
  <si>
    <t>CULION SANITARIUM AND BALALA HOSP</t>
  </si>
  <si>
    <t>OSPITAL NG PALAWAN</t>
  </si>
  <si>
    <t>BICOL</t>
  </si>
  <si>
    <t>BICOL REGIONAL TRAINING AND TEACHING HOSP</t>
  </si>
  <si>
    <t>BICOL SANITARIUM</t>
  </si>
  <si>
    <t>BICOL MEDICAL CENTER</t>
  </si>
  <si>
    <t>WESTERN VISAYAS</t>
  </si>
  <si>
    <t>DON JOSE S MONFORT MEDICAL CENTER</t>
  </si>
  <si>
    <t>WESTERN VISAYAS SANITARIUM</t>
  </si>
  <si>
    <t xml:space="preserve">WESTERN VISAYAS MEDICAL CENTER </t>
  </si>
  <si>
    <t>Corazon Locsin Montelibano Memorial Regional Hosp.</t>
  </si>
  <si>
    <t>CENTRAL VISAYAS</t>
  </si>
  <si>
    <t>DON EMILIO DEL VALLE MEM HOSP</t>
  </si>
  <si>
    <t>GOV. CELESTINO GALLARES MEMORIAL HOSPITAL</t>
  </si>
  <si>
    <t>TALISAY DISTRICT HOSPITAL</t>
  </si>
  <si>
    <t>VICENTE SOTTO MEMORIAL MEDICAL CENTER</t>
  </si>
  <si>
    <t>ST ANTHONY MOTHER AND CHILD HOSP</t>
  </si>
  <si>
    <t>EVERSLEY CHILDS SANITARIUM</t>
  </si>
  <si>
    <t>EASTERN VISAYAS</t>
  </si>
  <si>
    <t>SCHISTOSOMIASIS CONTRAL AND RESEARCH HOSPITAL</t>
  </si>
  <si>
    <t>EASTERN VISAYAS REGIONAL MEDICAL CENTER</t>
  </si>
  <si>
    <t>Payment for Stipend RN Heals</t>
  </si>
  <si>
    <t>ZAMBOANGA</t>
  </si>
  <si>
    <t>SULU SANITARIUM</t>
  </si>
  <si>
    <t>BASILAN GENERAL HOSPITAL</t>
  </si>
  <si>
    <t>DR JOSE RIZAL MEMORIAL HOSPITAL</t>
  </si>
  <si>
    <t>MARGOSATUBIG REGIONAL HOSPITAL</t>
  </si>
  <si>
    <t>ZAMBOANGA CITY MEDICAL CENTER</t>
  </si>
  <si>
    <t>LABUAN PUBLIC HOSPITAL</t>
  </si>
  <si>
    <t>MINDANAO CENTRAL SANITARIUM</t>
  </si>
  <si>
    <t>NORTHERN MINDANAO</t>
  </si>
  <si>
    <t>AMAI PAKPAK MEDICAL CENTER</t>
  </si>
  <si>
    <t>MAYOR HILARION RAMIRO  SR REGIONAL TRAINING AND TEACHING HOSP</t>
  </si>
  <si>
    <t>NORTHERN MINDANAO MEDICAL CENTER</t>
  </si>
  <si>
    <t>DAVAO</t>
  </si>
  <si>
    <t>DAVAO REGIONAL HOSPITAL</t>
  </si>
  <si>
    <t>SOUTHERN PHILIPPINES MEDICAL CENTER</t>
  </si>
  <si>
    <t>SOCCSKSARGEN</t>
  </si>
  <si>
    <t>COTABATO REGIONAL AND MEDICAL CENTER</t>
  </si>
  <si>
    <t>COTABATO SANITARIUM</t>
  </si>
  <si>
    <t>CARAGA</t>
  </si>
  <si>
    <t>CARAGA REGIONAL HOSPITAL</t>
  </si>
  <si>
    <t>ADELA SERRA TY MEMORIAL MEDICAL CENTER</t>
  </si>
  <si>
    <t>METRO MANILA HOSPITALS</t>
  </si>
  <si>
    <t>JOSE FABELLA MEMORIAL HOSP</t>
  </si>
  <si>
    <t>393 nurses trained</t>
  </si>
  <si>
    <t>SAN LAZARO HOSPITAL</t>
  </si>
  <si>
    <t>JOSE R REYES MEMORIAL MEDICAL CENTER</t>
  </si>
  <si>
    <t>TONDO MEDICAL CENTER</t>
  </si>
  <si>
    <t>NATIONAL CHILDRENS HOSPITAL</t>
  </si>
  <si>
    <t>EAST AVENUE MEDICAL CENTER</t>
  </si>
  <si>
    <t>QUIRINO MEMORIAL MED CTR</t>
  </si>
  <si>
    <t>AMANG RODRIGUEZ MEDICAL CTR</t>
  </si>
  <si>
    <t>RIZAL MEDICAL CENTER</t>
  </si>
  <si>
    <t>142 nurses trained</t>
  </si>
  <si>
    <t>RITM</t>
  </si>
  <si>
    <t>PHILIPPINE ORTHOPEDIC CENTER</t>
  </si>
  <si>
    <t>763 RN Heals Deployed and trained</t>
  </si>
  <si>
    <t>NATIONAL CENTER FOR MENTAL HEALTH</t>
  </si>
  <si>
    <t>REGION</t>
  </si>
  <si>
    <t>CHD METRO MANILA</t>
  </si>
  <si>
    <t>9 Midwives and 19 nurses Hired (Nov. 2011-February 2012)</t>
  </si>
  <si>
    <t>CHD CORDILLERA</t>
  </si>
  <si>
    <t xml:space="preserve">CHD ILOCOS </t>
  </si>
  <si>
    <t>132 nurses; 36 Midwives</t>
  </si>
  <si>
    <t>CHD CAGAYAN VALLEY</t>
  </si>
  <si>
    <t>CHD CENTRAL LUZON</t>
  </si>
  <si>
    <t>56 RNs and 38 RHMs</t>
  </si>
  <si>
    <t>CHD CALABARZON</t>
  </si>
  <si>
    <t>CHD MIMAROPA</t>
  </si>
  <si>
    <t>646 hired</t>
  </si>
  <si>
    <t>CHD BICOL</t>
  </si>
  <si>
    <t>CHD WESTERN VISAYAS</t>
  </si>
  <si>
    <t>CHD CENTRAL VISAYAS</t>
  </si>
  <si>
    <t>CHD EASTERN VISAYAS</t>
  </si>
  <si>
    <t>CHD ZAMBOANGA PENINSULA</t>
  </si>
  <si>
    <t>CHD NORTHERN MINDANAO</t>
  </si>
  <si>
    <t>CHD DAVAO REGION</t>
  </si>
  <si>
    <t>CHD SOCCSKSARGEN</t>
  </si>
  <si>
    <t>CHD CARAGA</t>
  </si>
  <si>
    <t>TRANSFER OF FUNDS TO ATTACHED AGENCY</t>
  </si>
  <si>
    <t>LUNG CENTER OF THE PHILIPPINES</t>
  </si>
  <si>
    <t>HEART CENTER</t>
  </si>
  <si>
    <t>PHILIPPINE CHILDRENS MEDICAL CENTER</t>
  </si>
  <si>
    <t>NATIONAL KIDNEY AND TRANSPLANT 
INSTITUTE</t>
  </si>
  <si>
    <t>DOH ARMM</t>
  </si>
  <si>
    <t xml:space="preserve">B.I.a </t>
  </si>
  <si>
    <t>RA 10147,p. 547</t>
  </si>
  <si>
    <t>Training For Work Scholarship Program for private sectors</t>
  </si>
  <si>
    <t>B-11-01472</t>
  </si>
  <si>
    <t>Training-For-Work Scholarship Program for the BPO Industry</t>
  </si>
  <si>
    <t>B-11-01471</t>
  </si>
  <si>
    <t>RA 10147, p. 485</t>
  </si>
  <si>
    <t>OSEC -  Performance Challenge Fund for LGUs</t>
  </si>
  <si>
    <t>D-11-01460</t>
  </si>
  <si>
    <t>ARRM -  Comprehensive Peace and Development Intervention</t>
  </si>
  <si>
    <t>Transition &amp; Investment Support Plan</t>
  </si>
  <si>
    <t>RA 10147 p. 35</t>
  </si>
  <si>
    <t>For the implementation of the ff. projects in ARMM:</t>
  </si>
  <si>
    <t>E-12-00913</t>
  </si>
  <si>
    <t>1. Cassava Project for Food P5,775,480</t>
  </si>
  <si>
    <t>RA 10147 p. 36</t>
  </si>
  <si>
    <t>OSEC - Additional reqt. For the repair/rehab/construction of FMR to bE transferred to DPWH</t>
  </si>
  <si>
    <t>BFAR</t>
  </si>
  <si>
    <t>RA 9970 p. 38</t>
  </si>
  <si>
    <t>E-12-00914</t>
  </si>
  <si>
    <t>New GAA</t>
  </si>
  <si>
    <t>RA 10147, p 469</t>
  </si>
  <si>
    <t xml:space="preserve">       Transition and Investment Support Plan</t>
  </si>
  <si>
    <t>B-11-01860</t>
  </si>
  <si>
    <t>RA 10147, p. 469</t>
  </si>
  <si>
    <t>B-12-00376</t>
  </si>
  <si>
    <t xml:space="preserve">           ARMM Transition and Investment Support Plan</t>
  </si>
  <si>
    <t>D-11-01821</t>
  </si>
  <si>
    <t>RA 10147, p. 484</t>
  </si>
  <si>
    <t>ARMM Transition Investment Plan for the implementation of  various projects</t>
  </si>
  <si>
    <t>D-12-00091</t>
  </si>
  <si>
    <t>BFP</t>
  </si>
  <si>
    <t>RA 10147, p. 487</t>
  </si>
  <si>
    <t>ARMM Transition Investment Plan for the construction of 33 fire stations and procurement of 33 fire trucks</t>
  </si>
  <si>
    <t>D-12-00092</t>
  </si>
  <si>
    <t xml:space="preserve">    </t>
  </si>
  <si>
    <t>BJMP</t>
  </si>
  <si>
    <t>RA 10147, p. 488</t>
  </si>
  <si>
    <t>ARMM Transition Investment Plan for the rehabilitation of 6 jails</t>
  </si>
  <si>
    <t>D-12-00093</t>
  </si>
  <si>
    <t>D-12-00094</t>
  </si>
  <si>
    <t>RA 10147, p. 498</t>
  </si>
  <si>
    <t xml:space="preserve"> ARMM Transition Investment Plan for the establishment of 21 police stations and procurement of 23 police vehicles </t>
  </si>
  <si>
    <t>DOLE-TESDA</t>
  </si>
  <si>
    <t>RA 10147, p. 549</t>
  </si>
  <si>
    <t>Requirement for the implementation of the Transition Investment Support Plan for ARMM in the form of scholarship grants</t>
  </si>
  <si>
    <t>B-12-00549</t>
  </si>
  <si>
    <t>ARMM-Various Infrastructure Projects</t>
  </si>
  <si>
    <t>A-11-01651</t>
  </si>
  <si>
    <t>DOST - OSEC</t>
  </si>
  <si>
    <t>Implementation of the Small Enterprise Technology Upgrading         Program (SET-UP) for the following Ros of DOST-OSEC:</t>
  </si>
  <si>
    <t xml:space="preserve">            Regional Office IX</t>
  </si>
  <si>
    <t>(Extension on Enhanced of S&amp;T activities)</t>
  </si>
  <si>
    <t>E-11-01826</t>
  </si>
  <si>
    <t xml:space="preserve">            Regional Office X</t>
  </si>
  <si>
    <t>E-11-01827</t>
  </si>
  <si>
    <t xml:space="preserve">            Regional Office XII</t>
  </si>
  <si>
    <t>E-11-01825</t>
  </si>
  <si>
    <t>DSWD - Financial assistance to the ARMM for various social services</t>
  </si>
  <si>
    <t>B-11-01584</t>
  </si>
  <si>
    <t>OSEC-Transition and Investment Support Plan in ARMM</t>
  </si>
  <si>
    <t>A-11-01861</t>
  </si>
  <si>
    <t>RA 10147 p. 805</t>
  </si>
  <si>
    <t>1. Business Permit Licensing Systm (BPLS) Streamlining Program</t>
  </si>
  <si>
    <t>A-12-00358</t>
  </si>
  <si>
    <t>DOTC-OSEC</t>
  </si>
  <si>
    <t>RA 10147 p. 821</t>
  </si>
  <si>
    <t>Jolo Port Development Project (50M) and Sanga-Sanga Airport Development Project (30M)</t>
  </si>
  <si>
    <t>A-12-00426</t>
  </si>
  <si>
    <t>On hold pending court decision</t>
  </si>
  <si>
    <t>GOCC-NEA- For the Rural Electrification Program for the ARMM</t>
  </si>
  <si>
    <t>F-11-01866</t>
  </si>
  <si>
    <t>Purchase of additional MRT Rail Car</t>
  </si>
  <si>
    <t>DOTC</t>
  </si>
  <si>
    <t>OSEC-Additional MRT Rail Car Purchase</t>
  </si>
  <si>
    <t>A-11-01469</t>
  </si>
  <si>
    <t xml:space="preserve">OSEC-Withdrawal of A-11-01469 pursuant to NBC 541 </t>
  </si>
  <si>
    <t>A-12-01096</t>
  </si>
  <si>
    <t>Development Assistance to the Province of Quezon</t>
  </si>
  <si>
    <t>RA 10147, p.979</t>
  </si>
  <si>
    <t xml:space="preserve">   DBM-LGU-RO 4A</t>
  </si>
  <si>
    <t>G-11-02271</t>
  </si>
  <si>
    <t>Davao Regional Hospital</t>
  </si>
  <si>
    <t>G-12-00908</t>
  </si>
  <si>
    <t>Gov. Celestino Gallares Memorial Hospital</t>
  </si>
  <si>
    <t>G-12-00907</t>
  </si>
  <si>
    <t>Northern Mindanao Medical Center</t>
  </si>
  <si>
    <t>G-12-00910</t>
  </si>
  <si>
    <t>Southern Philippines Medical Center (Davao Medical Center)</t>
  </si>
  <si>
    <t>G-12-00905</t>
  </si>
  <si>
    <t>G-12-00909</t>
  </si>
  <si>
    <t>Vicente Sotto Sr. Memorial Medical Center</t>
  </si>
  <si>
    <t>G-12-00906</t>
  </si>
  <si>
    <t>Other Various Infrastructure Projects</t>
  </si>
  <si>
    <t>A-11-01725</t>
  </si>
  <si>
    <t>A-11-01726</t>
  </si>
  <si>
    <t>A-11-01727</t>
  </si>
  <si>
    <t>A-11-01728</t>
  </si>
  <si>
    <t>A-11-01729</t>
  </si>
  <si>
    <t>A-11-01745</t>
  </si>
  <si>
    <t>A-11-01746</t>
  </si>
  <si>
    <t>A-11-01747</t>
  </si>
  <si>
    <t>A-11-01748</t>
  </si>
  <si>
    <t>A-11-01749</t>
  </si>
  <si>
    <t>A-11-01750</t>
  </si>
  <si>
    <t>A-11-01751</t>
  </si>
  <si>
    <t>A-11-01752</t>
  </si>
  <si>
    <t>A-11-01753</t>
  </si>
  <si>
    <t>A-11-01754</t>
  </si>
  <si>
    <t>A-11-01755</t>
  </si>
  <si>
    <t>A-11-01756</t>
  </si>
  <si>
    <t>A-11-01757</t>
  </si>
  <si>
    <t>A-11-01758</t>
  </si>
  <si>
    <t>A-11-01759</t>
  </si>
  <si>
    <t>A-11-01760</t>
  </si>
  <si>
    <t>A-11-01761</t>
  </si>
  <si>
    <t>A-11-01762</t>
  </si>
  <si>
    <t>A-11-01763</t>
  </si>
  <si>
    <t>A-11-01764</t>
  </si>
  <si>
    <t>A-11-01765</t>
  </si>
  <si>
    <t>A-11-01766</t>
  </si>
  <si>
    <t>A-11-01767</t>
  </si>
  <si>
    <t>A-11-01768</t>
  </si>
  <si>
    <t>A-11-01769</t>
  </si>
  <si>
    <t>A-11-01770</t>
  </si>
  <si>
    <t>A-11-01771</t>
  </si>
  <si>
    <t>A-11-01772</t>
  </si>
  <si>
    <t>A-11-01835</t>
  </si>
  <si>
    <t>A-11-01864</t>
  </si>
  <si>
    <t>A-11-01887</t>
  </si>
  <si>
    <t>A-11-01888</t>
  </si>
  <si>
    <t>A-11-01889</t>
  </si>
  <si>
    <t>A-11-01890</t>
  </si>
  <si>
    <t>A-11-01931</t>
  </si>
  <si>
    <t>A-11-01932</t>
  </si>
  <si>
    <t>A-11-01933</t>
  </si>
  <si>
    <t>A-11-01934</t>
  </si>
  <si>
    <t>A-11-01935</t>
  </si>
  <si>
    <t>A-11-01936</t>
  </si>
  <si>
    <t>A-11-02009</t>
  </si>
  <si>
    <t>A-11-02010</t>
  </si>
  <si>
    <t>A-11-02011</t>
  </si>
  <si>
    <t>A-11-02012</t>
  </si>
  <si>
    <t>A-11-02013</t>
  </si>
  <si>
    <t>A-11-02014</t>
  </si>
  <si>
    <t>A-11-02015</t>
  </si>
  <si>
    <t>A-11-02016</t>
  </si>
  <si>
    <t>A-11-02017</t>
  </si>
  <si>
    <t>A-11-02018</t>
  </si>
  <si>
    <t>A-11-02019</t>
  </si>
  <si>
    <t>A-11-02020</t>
  </si>
  <si>
    <t>A-11-02021</t>
  </si>
  <si>
    <t>A-11-02022</t>
  </si>
  <si>
    <t>A-11-02023</t>
  </si>
  <si>
    <t>A-11-02024</t>
  </si>
  <si>
    <t>A-11-02025</t>
  </si>
  <si>
    <t>A-11-02026</t>
  </si>
  <si>
    <t>A-11-02027</t>
  </si>
  <si>
    <t>A-11-02028</t>
  </si>
  <si>
    <t>A-11-02029</t>
  </si>
  <si>
    <t>A-11-02030</t>
  </si>
  <si>
    <t>A-11-02031</t>
  </si>
  <si>
    <t>A-11-02032</t>
  </si>
  <si>
    <t>A-11-02033</t>
  </si>
  <si>
    <t>A-11-02034</t>
  </si>
  <si>
    <t>A-11-02035</t>
  </si>
  <si>
    <t>A-11-02036</t>
  </si>
  <si>
    <t>A-11-02037</t>
  </si>
  <si>
    <t>A-11-02038</t>
  </si>
  <si>
    <t>A-11-02039</t>
  </si>
  <si>
    <t>A-11-02040</t>
  </si>
  <si>
    <t>A-11-02041</t>
  </si>
  <si>
    <t>A-11-02042</t>
  </si>
  <si>
    <t>A-11-02043</t>
  </si>
  <si>
    <t>A-11-02044</t>
  </si>
  <si>
    <t>A-11-02045</t>
  </si>
  <si>
    <t>A-11-02046</t>
  </si>
  <si>
    <t>A-11-02047</t>
  </si>
  <si>
    <t>A-11-02048</t>
  </si>
  <si>
    <t>A-11-02049</t>
  </si>
  <si>
    <t>A-11-02050</t>
  </si>
  <si>
    <t>A-11-02051</t>
  </si>
  <si>
    <t>A-11-02052</t>
  </si>
  <si>
    <t>A-11-02053</t>
  </si>
  <si>
    <t>A-11-02054</t>
  </si>
  <si>
    <t>A-11-02055</t>
  </si>
  <si>
    <t>A-11-02056</t>
  </si>
  <si>
    <t>A-11-02057</t>
  </si>
  <si>
    <t>A-11-02058</t>
  </si>
  <si>
    <t>A-11-02059</t>
  </si>
  <si>
    <t>A-11-02060</t>
  </si>
  <si>
    <t>A-11-02061</t>
  </si>
  <si>
    <t>A-11-02062</t>
  </si>
  <si>
    <t>A-11-02063</t>
  </si>
  <si>
    <t>A-11-02064</t>
  </si>
  <si>
    <t>A-11-02065</t>
  </si>
  <si>
    <t>A-11-02066</t>
  </si>
  <si>
    <t>A-11-02067</t>
  </si>
  <si>
    <t>A-11-02068</t>
  </si>
  <si>
    <t>A-11-02069</t>
  </si>
  <si>
    <t>A-11-02080</t>
  </si>
  <si>
    <t>A-11-02081</t>
  </si>
  <si>
    <t>A-11-02082</t>
  </si>
  <si>
    <t>A-11-02371</t>
  </si>
  <si>
    <t>A-11-02372</t>
  </si>
  <si>
    <t>A-11-02373</t>
  </si>
  <si>
    <t>A-11-02374</t>
  </si>
  <si>
    <t>A-11-02375</t>
  </si>
  <si>
    <t>A-11-02376</t>
  </si>
  <si>
    <t>A-11-02143</t>
  </si>
  <si>
    <t>A-11-02144</t>
  </si>
  <si>
    <t>A-11-02145</t>
  </si>
  <si>
    <t>A-11-02146</t>
  </si>
  <si>
    <t>A-11-02147</t>
  </si>
  <si>
    <t>A-11-02148</t>
  </si>
  <si>
    <t>A-11-02149</t>
  </si>
  <si>
    <t>A-11-02133</t>
  </si>
  <si>
    <t>A-11-02174</t>
  </si>
  <si>
    <t>A-11-02175</t>
  </si>
  <si>
    <t>A-11-02176</t>
  </si>
  <si>
    <t>R.A. 10147, Continuing Appropriations</t>
  </si>
  <si>
    <t>G-12-00111</t>
  </si>
  <si>
    <t>A-12-00107</t>
  </si>
  <si>
    <t>A-12-00108</t>
  </si>
  <si>
    <t>A-12-00115</t>
  </si>
  <si>
    <t>A-12-00116</t>
  </si>
  <si>
    <t>A-12-00117</t>
  </si>
  <si>
    <t>A-12-00120</t>
  </si>
  <si>
    <t>G-12-00148</t>
  </si>
  <si>
    <t>A-12-00144</t>
  </si>
  <si>
    <t>A-12-00226</t>
  </si>
  <si>
    <t>G-12-00271</t>
  </si>
  <si>
    <t>G-12-00272</t>
  </si>
  <si>
    <t>A-12-00317</t>
  </si>
  <si>
    <t>A-12-00386</t>
  </si>
  <si>
    <t>A-12-00391</t>
  </si>
  <si>
    <t>A-12-00392</t>
  </si>
  <si>
    <t>A-12-00393</t>
  </si>
  <si>
    <t>A-12-00417</t>
  </si>
  <si>
    <t>A-12-00418</t>
  </si>
  <si>
    <t>A-12-00419</t>
  </si>
  <si>
    <t>G-12-00420</t>
  </si>
  <si>
    <t>G-12-00422</t>
  </si>
  <si>
    <t>G-12-00485</t>
  </si>
  <si>
    <t>A-12-00550</t>
  </si>
  <si>
    <t>A-12-00551</t>
  </si>
  <si>
    <t>A-12-00552</t>
  </si>
  <si>
    <t>A-12-00553</t>
  </si>
  <si>
    <t>A-12-00694</t>
  </si>
  <si>
    <t>LGU Support Fund</t>
  </si>
  <si>
    <t>DAR</t>
  </si>
  <si>
    <t xml:space="preserve">      Fund 158</t>
  </si>
  <si>
    <t>RA 10147 p. 18</t>
  </si>
  <si>
    <t>Implementation of livelihood projects in various LGUs with existing Agrarian Reform Communities in support to farmer beneficiaries</t>
  </si>
  <si>
    <t>For the Requirements of the Program Benefeciaries Development Component of the</t>
  </si>
  <si>
    <t>E-11-01881</t>
  </si>
  <si>
    <t>Withdrawal of allotment</t>
  </si>
  <si>
    <t>E-12-00217</t>
  </si>
  <si>
    <t>Financial assistance for the implementation of Agribusiness projects in support to farmers beneficiaries, nationwide</t>
  </si>
  <si>
    <t>E-11-01882</t>
  </si>
  <si>
    <t>E-12-00218</t>
  </si>
  <si>
    <t>Financial assistance for the implementation livelihood projects in support to farmer beneficiaries, nationwide</t>
  </si>
  <si>
    <t>E-11-01883</t>
  </si>
  <si>
    <t xml:space="preserve">        </t>
  </si>
  <si>
    <t>E-12-00219</t>
  </si>
  <si>
    <t>Financial assistance for the implementation livelihood projects in support to farmers beneficiaries and other constituents, nationwide</t>
  </si>
  <si>
    <t>E-11-01884</t>
  </si>
  <si>
    <t>Financial assistance for the implementation of livelihood projects in  various LGUs  in support to farmers beneficiaries, nationwide</t>
  </si>
  <si>
    <t>E-11-01885</t>
  </si>
  <si>
    <t>Financial assistance for the implementation of livelihood projects in support to farmers beneficiaries, nationwide</t>
  </si>
  <si>
    <t>E-11-01886</t>
  </si>
  <si>
    <t xml:space="preserve">Financial assistance for the implementation of livelihood program such as farming, vermiculture and vegeatable seeds distribution in the provinces of Samar, Bataan, Bicol and Pampanga </t>
  </si>
  <si>
    <t>G-11-02362</t>
  </si>
  <si>
    <t xml:space="preserve">Financial assistance for the  livelihood assistance and crop sector development, 4th Dist. Camarines Sur
</t>
  </si>
  <si>
    <t>G-11-02328</t>
  </si>
  <si>
    <t>Financial assistance for the implementation of high value crops development program in Davao City</t>
  </si>
  <si>
    <t>G-11-01589</t>
  </si>
  <si>
    <t>Financial assistance for the implementation of  crops development program in 4th District of Camarines Sur</t>
  </si>
  <si>
    <t>G-11-01592</t>
  </si>
  <si>
    <t xml:space="preserve">Implementation of high value crops development program (local counterpart) in Quezon II </t>
  </si>
  <si>
    <t>G-12-00302</t>
  </si>
  <si>
    <t xml:space="preserve">Implementation of livelihood programs in various municipalities in Or Mindoro II </t>
  </si>
  <si>
    <t>G-12-00371</t>
  </si>
  <si>
    <t>B.I.a</t>
  </si>
  <si>
    <t>RA 10147 p. 63</t>
  </si>
  <si>
    <t xml:space="preserve">Financial assistance to DEPED-Division of Nueva Ecija for the  procurement of IT equipment for the deployment to various schools   in the 2nd Dist. Of Nueva Ecija </t>
  </si>
  <si>
    <t>G-11-01611</t>
  </si>
  <si>
    <t>6 units</t>
  </si>
  <si>
    <t>G-11-01898</t>
  </si>
  <si>
    <t>55 units</t>
  </si>
  <si>
    <t>Continuing
Appro</t>
  </si>
  <si>
    <t>RA 9970 p. 81</t>
  </si>
  <si>
    <t xml:space="preserve">Various infrastructure projects in the 6th District of Pangasinan </t>
  </si>
  <si>
    <t>G-12-00373</t>
  </si>
  <si>
    <t>100% complete</t>
  </si>
  <si>
    <t>RA 10147, p. 83</t>
  </si>
  <si>
    <t>For the purchase of eighty (80) units of desktop computer at P25,000/unit for distribution to various schools</t>
  </si>
  <si>
    <t>No PAP Code indicated in the SARO but the PAP code should have been  
B.I.a - Department of Education Computerization Program</t>
  </si>
  <si>
    <t>G-12-00427</t>
  </si>
  <si>
    <t>80 units</t>
  </si>
  <si>
    <t>RA 9970 p. 67</t>
  </si>
  <si>
    <t xml:space="preserve"> Alternative Learning System</t>
  </si>
  <si>
    <t>G-12-00921</t>
  </si>
  <si>
    <t>RA 10147 p. 68</t>
  </si>
  <si>
    <t>B-11-01945</t>
  </si>
  <si>
    <t>DENR-OSEC</t>
  </si>
  <si>
    <t>RA 10147, p. 404</t>
  </si>
  <si>
    <t>E-11-01868</t>
  </si>
  <si>
    <t xml:space="preserve">     EMB</t>
  </si>
  <si>
    <t>RA 10147, p. 410</t>
  </si>
  <si>
    <t xml:space="preserve">          </t>
  </si>
  <si>
    <t>DOF-CDA</t>
  </si>
  <si>
    <t>RA 9970 p. 445</t>
  </si>
  <si>
    <t>FA to Cebu Peoples Multi-Purpose Cooperative (Household Enterprises Lending Program)</t>
  </si>
  <si>
    <t>G-12-01176</t>
  </si>
  <si>
    <t>Office of the Secretary</t>
  </si>
  <si>
    <t>RA 10147, p 475</t>
  </si>
  <si>
    <t>G-11-02324</t>
  </si>
  <si>
    <t>G-11-02076</t>
  </si>
  <si>
    <t>RA 10147, p 474</t>
  </si>
  <si>
    <t>G-11-02331</t>
  </si>
  <si>
    <t>RA 10147, p 470</t>
  </si>
  <si>
    <t>G-11-02343</t>
  </si>
  <si>
    <t>RA 10147, p 473</t>
  </si>
  <si>
    <t>G-11-02357</t>
  </si>
  <si>
    <t>G-11-01623</t>
  </si>
  <si>
    <t>G-11-01624</t>
  </si>
  <si>
    <t>G-11-01977</t>
  </si>
  <si>
    <t>G-11-02344</t>
  </si>
  <si>
    <t>B-11-01947</t>
  </si>
  <si>
    <t>G-11-01605</t>
  </si>
  <si>
    <t>G-11-01628</t>
  </si>
  <si>
    <t>G-11-02348</t>
  </si>
  <si>
    <t>G-11-02349</t>
  </si>
  <si>
    <t>RA 10147, p. 470</t>
  </si>
  <si>
    <t xml:space="preserve">          NCH - FA for indigent patients from QC IV</t>
  </si>
  <si>
    <t>G-12-00040</t>
  </si>
  <si>
    <t>G-11-01607</t>
  </si>
  <si>
    <t>G-11-02347</t>
  </si>
  <si>
    <t>G-11-02345</t>
  </si>
  <si>
    <t>G-11-01604</t>
  </si>
  <si>
    <t>G-11-01630</t>
  </si>
  <si>
    <t>G-11-01606</t>
  </si>
  <si>
    <t>G-11-02342</t>
  </si>
  <si>
    <t>G-11-01603</t>
  </si>
  <si>
    <t>G-11-01703</t>
  </si>
  <si>
    <t>G-11-01736</t>
  </si>
  <si>
    <t xml:space="preserve">          EAMC - FA for indigent patients from QC IV</t>
  </si>
  <si>
    <t>G-12-00039</t>
  </si>
  <si>
    <t xml:space="preserve">          EAMC - FA for indigent patients from QC III </t>
  </si>
  <si>
    <t>G-12-00332</t>
  </si>
  <si>
    <t>G-11-02346</t>
  </si>
  <si>
    <t>G-11-01629</t>
  </si>
  <si>
    <t>G-11-01709</t>
  </si>
  <si>
    <t>POC - FA for indigent patients from QC IV</t>
  </si>
  <si>
    <t>G-12-00042</t>
  </si>
  <si>
    <t>B-11-01979</t>
  </si>
  <si>
    <t xml:space="preserve">         QMMC - FA for indigent patients from QC IV</t>
  </si>
  <si>
    <t>G-12-00041</t>
  </si>
  <si>
    <t xml:space="preserve">         QMMC - FA for indigent patients from QC III </t>
  </si>
  <si>
    <t>G-12-00330</t>
  </si>
  <si>
    <t>G-11-01738</t>
  </si>
  <si>
    <t>RA 10147, p 464</t>
  </si>
  <si>
    <t>B-11-01948</t>
  </si>
  <si>
    <t>RA 10147, p 472</t>
  </si>
  <si>
    <t>RA 10147, p. 474</t>
  </si>
  <si>
    <t>G-12-00293</t>
  </si>
  <si>
    <t>RA 10147, p 476</t>
  </si>
  <si>
    <t>RA 10147, p 477</t>
  </si>
  <si>
    <t>RA 10147, p 471</t>
  </si>
  <si>
    <t>B-11-01946</t>
  </si>
  <si>
    <t>On 12/27/11, a negative SAA with No. 11-12-1650 was issued to withdraw the issuance of SAA No. 11-12-1637</t>
  </si>
  <si>
    <t>RA 10147, p. 473</t>
  </si>
  <si>
    <t>Ospital ng Palawan - FA for indigent patients from Palawan I</t>
  </si>
  <si>
    <t>G-12-00028</t>
  </si>
  <si>
    <t>Payment of Drugs and meds.</t>
  </si>
  <si>
    <t>Payment of medical supplies</t>
  </si>
  <si>
    <t>G-11-01700</t>
  </si>
  <si>
    <t>G-11-01701</t>
  </si>
  <si>
    <t>G-11-01702</t>
  </si>
  <si>
    <t>RA 10147, p. 476</t>
  </si>
  <si>
    <t xml:space="preserve">N Mindanao MC - FA for 500 indigent patients in Mindanao </t>
  </si>
  <si>
    <t>G-12-00285</t>
  </si>
  <si>
    <t>G-11-01704</t>
  </si>
  <si>
    <t>G-11-01705</t>
  </si>
  <si>
    <t>RA 10147, p. 471</t>
  </si>
  <si>
    <t>G-12-00334</t>
  </si>
  <si>
    <t>G-11-01706</t>
  </si>
  <si>
    <t>G-11-01707</t>
  </si>
  <si>
    <t>G-11-01708</t>
  </si>
  <si>
    <t>G-11-01807</t>
  </si>
  <si>
    <t>G-11-01631</t>
  </si>
  <si>
    <t>B-11-02178</t>
  </si>
  <si>
    <t>G-12-00027</t>
  </si>
  <si>
    <t>DILG-PNP</t>
  </si>
  <si>
    <t>RA 10147, p. 502</t>
  </si>
  <si>
    <t xml:space="preserve">       Crime laboratory of the PNP</t>
  </si>
  <si>
    <t>D-11-01930</t>
  </si>
  <si>
    <t>DOJ</t>
  </si>
  <si>
    <t>BUCOR</t>
  </si>
  <si>
    <t xml:space="preserve">FA for the purchase of fire truck and 7 sets of firemen suits and 4 sets of breathing apparatus for the BUCOR-NBP </t>
  </si>
  <si>
    <t>D-12-00157</t>
  </si>
  <si>
    <t>RA 10147,p. 549</t>
  </si>
  <si>
    <t>Financial assistance for the impl. of scholarship program  for indigent constituents, 1st Dist.   Zamboanga City NCR:   Scholarship assistance for St. Louise de Marilao Int.</t>
  </si>
  <si>
    <t>G-11-02321</t>
  </si>
  <si>
    <t>Financial assistance to Asiantouch International Training Institute for the implementation of scholarship prog. in 1st Dist Caloocan City</t>
  </si>
  <si>
    <t>G-11-01640</t>
  </si>
  <si>
    <t>Financial assistance to Phil-Best Enterprise, Inc. for the implementation of scholarship program  1st Dist. Of Caloocan City</t>
  </si>
  <si>
    <t>G-11-01805</t>
  </si>
  <si>
    <t xml:space="preserve">Financial assistance to Asiantouch International Training Institute for the implementation of scholarship program in Marikina City II </t>
  </si>
  <si>
    <t>G-12-00304</t>
  </si>
  <si>
    <t xml:space="preserve">Financial assistance for the implementation of scholarship program in Cavite I through the Meridian International College of Business and Arts </t>
  </si>
  <si>
    <t>G-12-00335</t>
  </si>
  <si>
    <t>Financial assistance for the implementation of scholarship programs in Palawan I</t>
  </si>
  <si>
    <t>G-12-00026</t>
  </si>
  <si>
    <t xml:space="preserve">Financial assistance for the implementation of scholarship program to 125 indigent residents for vocational courses in Mindanao </t>
  </si>
  <si>
    <t>G-12-00282</t>
  </si>
  <si>
    <t>Financial assistance to TESDA Davao Oriental Provincial Office for the conduct of training cum production (center based and community based) 2nd Dist.  of Davao Oriental</t>
  </si>
  <si>
    <t>G-11-01679</t>
  </si>
  <si>
    <t>Financial assistance to Mindanao Polytechnic Institute, Makar, Gen. Santos City for the implementation of scholarship program</t>
  </si>
  <si>
    <t>G-11-01840</t>
  </si>
  <si>
    <t xml:space="preserve"> Financial assistance for trainings and scholarships</t>
  </si>
  <si>
    <t>B-11-01951</t>
  </si>
  <si>
    <t>Financial assistance for trainings and scholarships</t>
  </si>
  <si>
    <t>B-11-01952</t>
  </si>
  <si>
    <t>Foundation Inc. Bagumbong, Caloocan City</t>
  </si>
  <si>
    <t>B-11-02177</t>
  </si>
  <si>
    <t>RA 10147, p.558</t>
  </si>
  <si>
    <t>Rehab of Aquino-Diokno Memorial Shrine in Fort Magsaysay</t>
  </si>
  <si>
    <t>D-11-02094</t>
  </si>
  <si>
    <t>G-11-01594</t>
  </si>
  <si>
    <t>G-11-01614</t>
  </si>
  <si>
    <t>G-11-01667</t>
  </si>
  <si>
    <t>G-11-02315</t>
  </si>
  <si>
    <t>G-11-02316</t>
  </si>
  <si>
    <t>G-11-02317</t>
  </si>
  <si>
    <t>G-11-02318</t>
  </si>
  <si>
    <t>G-11-02358</t>
  </si>
  <si>
    <t>FNRI</t>
  </si>
  <si>
    <t>RA 10147 p. 752</t>
  </si>
  <si>
    <t>E-11-01959</t>
  </si>
  <si>
    <t>Financial assistance for the implementation of CIDSS prog.,  4th Dist. Leyte</t>
  </si>
  <si>
    <t>G-11-02314</t>
  </si>
  <si>
    <t>Financial assistance for the impl. of CIDSS prog. 1st Dist. Zamboanga City</t>
  </si>
  <si>
    <t>G-11-02323</t>
  </si>
  <si>
    <t>Financial assistance for the impl. of CIDSS prog. 2nd Dist. Cebu</t>
  </si>
  <si>
    <t>G-11-02329</t>
  </si>
  <si>
    <t>Financial assistance for the impl. of CIDSS prog. 1st Dist. Valenzuela City</t>
  </si>
  <si>
    <t>G-11-02355</t>
  </si>
  <si>
    <t>Financial assistance for the impl. of CIDSS prog. 4th Dist. Nueva Ecija</t>
  </si>
  <si>
    <t>G-11-02356</t>
  </si>
  <si>
    <t xml:space="preserve">Financial assistance for the implementation of CIDSS for Read Found. </t>
  </si>
  <si>
    <t>G-11-02186</t>
  </si>
  <si>
    <t>(P4000T) / in 3rd Dist. Of Manila (P5000T)</t>
  </si>
  <si>
    <t>G-11-02226</t>
  </si>
  <si>
    <t>Financial assistance for the implementation of CIDSS in 1st Dist. Negros Oriental (P100T) / Zamboanga City (P900T)</t>
  </si>
  <si>
    <t>G-11-02073</t>
  </si>
  <si>
    <t>G-11-02074</t>
  </si>
  <si>
    <t>NCR:   Financial assistance to the KALAHI-CIDSS program Financial assistance for the delivery of comprehensive integrated delivery of social services 1st Dist of Quezon City</t>
  </si>
  <si>
    <t>G-11-01596</t>
  </si>
  <si>
    <t>Financial assistance for the delivery of comprehensive integrated  delivery of social services  3rd Dist. Of Manila</t>
  </si>
  <si>
    <t>G-11-01613</t>
  </si>
  <si>
    <t>Financial assistance for the delivery of comprehensive integrated   delivery of social services  2nd Dist. Of Davao Oriental</t>
  </si>
  <si>
    <t>G-11-01615</t>
  </si>
  <si>
    <t>Financial assistance for the delivery of comprehensive integrated   delivery of social services   1st Dist. Of Masbate</t>
  </si>
  <si>
    <t>G-11-01622</t>
  </si>
  <si>
    <t>Financial assistance for the delivery of comprehensive integrated delivery of social services  1st Dist. Caloocan City</t>
  </si>
  <si>
    <t>G-11-01641</t>
  </si>
  <si>
    <t>Financial assistance for the delivery of comprehensive integrated   delivery of social services   2nd Dist. Davao Oriental</t>
  </si>
  <si>
    <t>G-11-01661</t>
  </si>
  <si>
    <t>Financial assistance for the delivery of comprehensive integrated  delivery of social services  2nd Dist. Of Davao Oriental</t>
  </si>
  <si>
    <t>G-11-01690</t>
  </si>
  <si>
    <t>Financial assistance for the delivery of comprehensive integrated delivery of social services</t>
  </si>
  <si>
    <t>G-11-01711</t>
  </si>
  <si>
    <t>Financial assistance for the delivery of comprehensive integrated   delivery of social services  Lone Dist. Malabon Ctiy</t>
  </si>
  <si>
    <t>G-11-01786</t>
  </si>
  <si>
    <t>G-11-01806</t>
  </si>
  <si>
    <t>Financial assistance for protective services</t>
  </si>
  <si>
    <t>B-11-01899</t>
  </si>
  <si>
    <t>B-11-01900</t>
  </si>
  <si>
    <t>Financial assistance for the crisis intervention unit (P3M), establishments of daycare center (P3M),  playgrounds and purchase  play equipment (P2M), detention center and homes for juvenile   delinquents (P10M)</t>
  </si>
  <si>
    <t>B-11-01901</t>
  </si>
  <si>
    <t>NCR:   Financial assistance to the KALAHI-CIDSS program of DSWD for Las Pinas City</t>
  </si>
  <si>
    <t>B-11-02114</t>
  </si>
  <si>
    <t xml:space="preserve">Financial Assistance for the implementation of CIDSS programs in Quezon II </t>
  </si>
  <si>
    <t>G-12-00301</t>
  </si>
  <si>
    <t xml:space="preserve">Financial Assistance for the implementation of CIDSS Program for the indigent families in Mindanao </t>
  </si>
  <si>
    <t>G-12-00286</t>
  </si>
  <si>
    <t>G-12-00287</t>
  </si>
  <si>
    <t xml:space="preserve">Financial Assistance for the implementation of CIDSS Program - nationwide </t>
  </si>
  <si>
    <t>G-12-00337</t>
  </si>
  <si>
    <t>RA 10147 p. 870</t>
  </si>
  <si>
    <t xml:space="preserve"> Financial Assistance - Scholarship Program</t>
  </si>
  <si>
    <t>G-11-01637</t>
  </si>
  <si>
    <t>G-11-01645</t>
  </si>
  <si>
    <t>G-11-01698</t>
  </si>
  <si>
    <t>B-11-01902</t>
  </si>
  <si>
    <t>G-11-02336</t>
  </si>
  <si>
    <t xml:space="preserve"> Financial Assistance for the implementation of scholarship programs</t>
  </si>
  <si>
    <t>G-12-00047</t>
  </si>
  <si>
    <t xml:space="preserve"> Financial Assistance  for the implementation of scholarship program to 125 indigent students in Mindanao </t>
  </si>
  <si>
    <t>G-12-00283</t>
  </si>
  <si>
    <t xml:space="preserve"> Financial Assistance for the implementation of scholarship program to 125 indigent students in Mindanao </t>
  </si>
  <si>
    <t>G-12-00284</t>
  </si>
  <si>
    <t>RA 10147 p. 891</t>
  </si>
  <si>
    <t xml:space="preserve">Financial Assistance for the implementation of livelihood projects for women </t>
  </si>
  <si>
    <t>G-11-01591</t>
  </si>
  <si>
    <t xml:space="preserve">Financial Assistance for various livelihood projects in the 1st District of Zamboanga City </t>
  </si>
  <si>
    <t>G-11-02322</t>
  </si>
  <si>
    <t xml:space="preserve">Financial Assistance for various livelihood projects in the 1st District of Zamboanga </t>
  </si>
  <si>
    <t>G-11-02078</t>
  </si>
  <si>
    <t>RA 10147, p.897</t>
  </si>
  <si>
    <t xml:space="preserve">Women Empowerment Program </t>
  </si>
  <si>
    <t>B-11-01950</t>
  </si>
  <si>
    <t>RA 10147, p. 901</t>
  </si>
  <si>
    <t>Financial Assistance to Athletes</t>
  </si>
  <si>
    <t>B-11-01953</t>
  </si>
  <si>
    <t>University of the Philippines System</t>
  </si>
  <si>
    <t>RA 10147 p. 258</t>
  </si>
  <si>
    <t>Financial Assistance to the PGH for indigent patients</t>
  </si>
  <si>
    <t>G-11-01632</t>
  </si>
  <si>
    <t>G-11-01619</t>
  </si>
  <si>
    <t>G-11-01697</t>
  </si>
  <si>
    <t>G-11-01710</t>
  </si>
  <si>
    <t>G-11-01642</t>
  </si>
  <si>
    <t>G-11-01635</t>
  </si>
  <si>
    <t>G-11-01643</t>
  </si>
  <si>
    <t>G-11-01602</t>
  </si>
  <si>
    <t>G-11-02340</t>
  </si>
  <si>
    <t>G-11-02354</t>
  </si>
  <si>
    <t>G-11-02334</t>
  </si>
  <si>
    <t>NCR-11-0029</t>
  </si>
  <si>
    <t>NCR-11-0032</t>
  </si>
  <si>
    <t>NCR-11-0028</t>
  </si>
  <si>
    <t xml:space="preserve">Financial Assistance for indigent patients from Cavite III </t>
  </si>
  <si>
    <t>G-12-00147</t>
  </si>
  <si>
    <t>G-12-00297</t>
  </si>
  <si>
    <t>G-12-00338</t>
  </si>
  <si>
    <t xml:space="preserve">Financial Assistance for priority programs and projects </t>
  </si>
  <si>
    <t>G-12-00345</t>
  </si>
  <si>
    <t>Philippine Normal University</t>
  </si>
  <si>
    <t>RA 10147 p. 253</t>
  </si>
  <si>
    <t xml:space="preserve">        Scholarship Program </t>
  </si>
  <si>
    <t>NCR-11-0030</t>
  </si>
  <si>
    <t>Polytechnic University of the Philippines</t>
  </si>
  <si>
    <t>RA 10147 p. 255</t>
  </si>
  <si>
    <t>NCR-11-0031</t>
  </si>
  <si>
    <t>REGION 1</t>
  </si>
  <si>
    <t>Mariano Marcos State University</t>
  </si>
  <si>
    <t>B-11-01903</t>
  </si>
  <si>
    <t>Pangasinan State University</t>
  </si>
  <si>
    <t>RA 10147 p. 263</t>
  </si>
  <si>
    <t>B-11-01904</t>
  </si>
  <si>
    <t>REGION 2</t>
  </si>
  <si>
    <t>Quirino State College</t>
  </si>
  <si>
    <t>RA 10147 p. 276</t>
  </si>
  <si>
    <t>G-11-01720</t>
  </si>
  <si>
    <t>100 scholars</t>
  </si>
  <si>
    <t>REGION 3</t>
  </si>
  <si>
    <t>Bulacan State University</t>
  </si>
  <si>
    <t>RA 10147 p. 280</t>
  </si>
  <si>
    <t>B-11-01905</t>
  </si>
  <si>
    <t>65 scholars</t>
  </si>
  <si>
    <t>Central Luzon State University</t>
  </si>
  <si>
    <t>RA 10147 p. 281</t>
  </si>
  <si>
    <t>G-11-01649</t>
  </si>
  <si>
    <t>648 scholars</t>
  </si>
  <si>
    <t>B-11-01908</t>
  </si>
  <si>
    <t>90 scholars</t>
  </si>
  <si>
    <t>Nueva Ecija University of Science and Technology</t>
  </si>
  <si>
    <t>RA 10147 p. 283</t>
  </si>
  <si>
    <t>G-11-01650</t>
  </si>
  <si>
    <t>Pampanga Agricultural College</t>
  </si>
  <si>
    <t>RA 10147 p. 284</t>
  </si>
  <si>
    <t>B-11-01907</t>
  </si>
  <si>
    <t>Tarlac College of Agriculture</t>
  </si>
  <si>
    <t>RA 10147, p.287</t>
  </si>
  <si>
    <t xml:space="preserve">Financial Assistance for the implementation of scholarship program in Tarlac I </t>
  </si>
  <si>
    <t>G-12-00114</t>
  </si>
  <si>
    <t>515 scholars</t>
  </si>
  <si>
    <t>Tarlac State University</t>
  </si>
  <si>
    <t>RA 10147, p.288</t>
  </si>
  <si>
    <t>G-12-00113</t>
  </si>
  <si>
    <t>1204 scholars</t>
  </si>
  <si>
    <t>REGION 4-A</t>
  </si>
  <si>
    <t>Batangas State University</t>
  </si>
  <si>
    <t>RA 10147 p. 291</t>
  </si>
  <si>
    <t>G-11-01719</t>
  </si>
  <si>
    <t>B-11-01906</t>
  </si>
  <si>
    <t>64 scholars</t>
  </si>
  <si>
    <t>Cavite State University</t>
  </si>
  <si>
    <t>RA 10147 p. 292</t>
  </si>
  <si>
    <t>G-11-01715</t>
  </si>
  <si>
    <t>G-11-02335</t>
  </si>
  <si>
    <t>162 scholars</t>
  </si>
  <si>
    <t>B-11-01909</t>
  </si>
  <si>
    <t>71 scholars</t>
  </si>
  <si>
    <t>Laguna State Polytechnic University</t>
  </si>
  <si>
    <t>RA 10147 p. 293</t>
  </si>
  <si>
    <t>G-11-01733</t>
  </si>
  <si>
    <t>University of Rizal System</t>
  </si>
  <si>
    <t>RA 10147 p. 296</t>
  </si>
  <si>
    <t>G-11-01717</t>
  </si>
  <si>
    <t>91 scholars</t>
  </si>
  <si>
    <t>REGION 4-B</t>
  </si>
  <si>
    <t>Palawan State University</t>
  </si>
  <si>
    <t>RA 10147, p.300</t>
  </si>
  <si>
    <t xml:space="preserve">Financial Assistance for the implementation of scholarship program in Palawan I </t>
  </si>
  <si>
    <t>G-12-00025</t>
  </si>
  <si>
    <t>1,181 scholars</t>
  </si>
  <si>
    <t>REGION 5</t>
  </si>
  <si>
    <t>Bicol University</t>
  </si>
  <si>
    <t>RA 10147 p. 305</t>
  </si>
  <si>
    <t>B-11-01910</t>
  </si>
  <si>
    <t>68 scholars</t>
  </si>
  <si>
    <t>Partido State University</t>
  </si>
  <si>
    <t>RA 10147 p. 311</t>
  </si>
  <si>
    <t xml:space="preserve">      Scholarship Program </t>
  </si>
  <si>
    <t>G-11-02327</t>
  </si>
  <si>
    <t>Expansion of University Library</t>
  </si>
  <si>
    <t>B-11-02252</t>
  </si>
  <si>
    <t>REGION 6</t>
  </si>
  <si>
    <t>Carlos E. Hilado Memorial State College</t>
  </si>
  <si>
    <t>RA 10147 p. 316</t>
  </si>
  <si>
    <t>B-11-01911</t>
  </si>
  <si>
    <t>Capiz State University</t>
  </si>
  <si>
    <t>RA 10147 p. 315</t>
  </si>
  <si>
    <t>G-11-01714</t>
  </si>
  <si>
    <t>RA 10147 p. 325</t>
  </si>
  <si>
    <t>B-11-01912</t>
  </si>
  <si>
    <t>REGION 7</t>
  </si>
  <si>
    <t>Cebu Normal University</t>
  </si>
  <si>
    <t>RA 10147, p. 327</t>
  </si>
  <si>
    <t>B-11-01913</t>
  </si>
  <si>
    <t>Cebu Technological University</t>
  </si>
  <si>
    <t>RA 10147 p. 328</t>
  </si>
  <si>
    <t>B-11-01914</t>
  </si>
  <si>
    <t>REGION 8</t>
  </si>
  <si>
    <t>Eastern Samar State University</t>
  </si>
  <si>
    <t>RA 10147, p. 332</t>
  </si>
  <si>
    <t>G-11-01713</t>
  </si>
  <si>
    <t>184 scholars</t>
  </si>
  <si>
    <t>Leyte Normal University</t>
  </si>
  <si>
    <t>RA 10147, p. 334</t>
  </si>
  <si>
    <t>B-11-01915</t>
  </si>
  <si>
    <t>University of Eastern Philippines</t>
  </si>
  <si>
    <t>RA 10147, p. 342</t>
  </si>
  <si>
    <r>
      <t>For the construction of academic facilities (Library) at the Pedro Rebadulla Memorial Campus</t>
    </r>
    <r>
      <rPr>
        <b/>
        <sz val="11"/>
        <rFont val="Calibri"/>
        <family val="2"/>
        <scheme val="minor"/>
      </rPr>
      <t xml:space="preserve"> </t>
    </r>
  </si>
  <si>
    <t>G-11-02313</t>
  </si>
  <si>
    <t>Financial Assistance for the Construction of a Multi-Purpose Building in the UEP-Pedro Rebadulla Memorial College, Catubig, Northern Samar (DAP)</t>
  </si>
  <si>
    <t>G-12-00424</t>
  </si>
  <si>
    <t>REGION 9</t>
  </si>
  <si>
    <t>J.H Ceriles State College</t>
  </si>
  <si>
    <t>RA 10147, p. 345</t>
  </si>
  <si>
    <t>G-11-01718</t>
  </si>
  <si>
    <t>REGION 10</t>
  </si>
  <si>
    <t>Bukidnon State University</t>
  </si>
  <si>
    <t>RA 10147 p. 351</t>
  </si>
  <si>
    <t xml:space="preserve">Financial Assistance for scholarship programs to 250 indigent students in Mindanao </t>
  </si>
  <si>
    <t>G-12-00277</t>
  </si>
  <si>
    <t>Central Mindanao University</t>
  </si>
  <si>
    <t>RA 10147, p. 353</t>
  </si>
  <si>
    <t>Scholarship Program</t>
  </si>
  <si>
    <t>B-11-01916</t>
  </si>
  <si>
    <t>G-12-00280</t>
  </si>
  <si>
    <t>Camiguin Polytechnic State College</t>
  </si>
  <si>
    <t xml:space="preserve">Financial Assistance for scholarship programs to 100 indigent students in Mindanao </t>
  </si>
  <si>
    <t>G-12-00281</t>
  </si>
  <si>
    <t>Mindanao University of Science and Technology</t>
  </si>
  <si>
    <t>RA 10147, p. 354</t>
  </si>
  <si>
    <t>G-11-01656</t>
  </si>
  <si>
    <t>G-11-02359</t>
  </si>
  <si>
    <t xml:space="preserve">FA for scholarship programs to 400 indigent students in Mindanao </t>
  </si>
  <si>
    <t>G-12-00294</t>
  </si>
  <si>
    <t>REGION 11</t>
  </si>
  <si>
    <t>University of Southern Philippines</t>
  </si>
  <si>
    <t>RA 10147, p. 361</t>
  </si>
  <si>
    <t>B-11-01918</t>
  </si>
  <si>
    <t>B-11-01917</t>
  </si>
  <si>
    <t>G-11-01716</t>
  </si>
  <si>
    <t>REGION 12</t>
  </si>
  <si>
    <t>Cotabato City State Polytechnic University</t>
  </si>
  <si>
    <t>B-11-01919</t>
  </si>
  <si>
    <t>Reverted to National Govt</t>
  </si>
  <si>
    <t>REGION 13</t>
  </si>
  <si>
    <t>CARAGA State University</t>
  </si>
  <si>
    <t>A.II.b.1</t>
  </si>
  <si>
    <t>RA 10147, p. 367</t>
  </si>
  <si>
    <t>B-11-01920</t>
  </si>
  <si>
    <t>138 Scholars</t>
  </si>
  <si>
    <t>B-11-02115</t>
  </si>
  <si>
    <t>3 scholars</t>
  </si>
  <si>
    <t>RA 10147 p. 367</t>
  </si>
  <si>
    <t>G-12-00274</t>
  </si>
  <si>
    <t>Surigao State College of Technology</t>
  </si>
  <si>
    <t>RA 10147, p.369</t>
  </si>
  <si>
    <t>G-12-00275</t>
  </si>
  <si>
    <t>ARMM</t>
  </si>
  <si>
    <t xml:space="preserve">    MSU-Marawi</t>
  </si>
  <si>
    <t>B-11-01921</t>
  </si>
  <si>
    <t xml:space="preserve">Financial Assistance for scholarship programs to 250 indigent students of Mindanao </t>
  </si>
  <si>
    <t>G-12-00276</t>
  </si>
  <si>
    <t xml:space="preserve">    MSU-Tawi-tawi CTO</t>
  </si>
  <si>
    <t xml:space="preserve">Financial Assistance for scholarship programs to 150 indigent students of Mindanao </t>
  </si>
  <si>
    <t>G-12-00278</t>
  </si>
  <si>
    <t>150 scholars</t>
  </si>
  <si>
    <t xml:space="preserve">    MSU-Iligan IT</t>
  </si>
  <si>
    <t>Financial Assistance for scholarship programs to 250 indigent students of Mindanao</t>
  </si>
  <si>
    <t>G-12-00279</t>
  </si>
  <si>
    <t>2011 Releases</t>
  </si>
  <si>
    <t xml:space="preserve">     RO 2</t>
  </si>
  <si>
    <t xml:space="preserve"> Batanes</t>
  </si>
  <si>
    <t>G-11-01564</t>
  </si>
  <si>
    <t>Itbayat, Batanes</t>
  </si>
  <si>
    <t>1.Rehabilitation/improvement of wharf in Paganaman, Itbayat (P3M); 
2.Livelihood assistance for various social sectors: senior citizens, women, farmers, fisherfolks, youth, etc. (P1M);
3.Medical asistance to indigent patients (P1M); and
4.Assistance to indigents i.e., burial assistance,
 transportation assistance, etc. (P500K)</t>
  </si>
  <si>
    <t>Ivana, Batanes</t>
  </si>
  <si>
    <t>Brgy. Raele, Itbayat, Batanes</t>
  </si>
  <si>
    <t xml:space="preserve">  1. Construction/rehabili-tation/improvement of health
       center; 
   2. Purchase of medicines and health kits; and 
   3. Assistance/development of livelihood projects</t>
  </si>
  <si>
    <t>Brgy. San Rafael, Itbayat, Batanes</t>
  </si>
  <si>
    <t>Brgy. Sta. Maria, Itbayat, Batanes</t>
  </si>
  <si>
    <t>Brgy. Sta. Rosa, Itbayat, Batanes</t>
  </si>
  <si>
    <t>Brgy. Sta. Lucia, Itbayat, Batanes</t>
  </si>
  <si>
    <t>Brgy. Tuhel, Ivana, Batanes</t>
  </si>
  <si>
    <t>Brgy. Radiwan, Ivana, Batanes</t>
  </si>
  <si>
    <t>Brgy. Salagao, Ivana, Batanes</t>
  </si>
  <si>
    <t>Brgy. Kaychanarianan, Basco, Batanes</t>
  </si>
  <si>
    <t>Brgy. Kayhuvokan, Basco, Batanes</t>
  </si>
  <si>
    <t>Brgy. Kayvaluganan, Basco, Batanes</t>
  </si>
  <si>
    <t>Brgy. Chanarian-Tukon, Basco, Batanes</t>
  </si>
  <si>
    <t>Brgy. San Antonio/Diptan, Basco, Batanes</t>
  </si>
  <si>
    <t>Brgy. San Joaquin/Valugan, Basco, Batanes</t>
  </si>
  <si>
    <t>Brgy. Hanib, Mahatao, Batanes</t>
  </si>
  <si>
    <t>Brgy. Panatayan, Mahatao, Batanes</t>
  </si>
  <si>
    <t>Brgy. Kayuganan, Uyugan, Batanes</t>
  </si>
  <si>
    <t>Brgy. Kayvaluganan, Uyugan, Batanes</t>
  </si>
  <si>
    <t>Brgy. Itbud, Uyugan, Batanes</t>
  </si>
  <si>
    <t>Brgy. Malakdang, Sabtang, Batanes</t>
  </si>
  <si>
    <t>Brgy. Savidug, Sabtang, Batanes</t>
  </si>
  <si>
    <t>Brgy. Nakanmuan, Sabtang, Batanes</t>
  </si>
  <si>
    <t>Brgy. Sumnanga, Sabtang, Batanes</t>
  </si>
  <si>
    <t xml:space="preserve">     RO 8</t>
  </si>
  <si>
    <t>Catbalogan City, Samar</t>
  </si>
  <si>
    <t>G-11-01644</t>
  </si>
  <si>
    <t xml:space="preserve">     RO 4B</t>
  </si>
  <si>
    <t xml:space="preserve"> Or Mindoro</t>
  </si>
  <si>
    <t>G-11-01680</t>
  </si>
  <si>
    <t>Concreting of Villa Pag-Asa Rd, Bansud and La Fortuna Rd, Socorro P10M each</t>
  </si>
  <si>
    <t xml:space="preserve"> N Samar</t>
  </si>
  <si>
    <t>G-11-01681</t>
  </si>
  <si>
    <t xml:space="preserve">     RO 11</t>
  </si>
  <si>
    <t xml:space="preserve"> Samal City, Davao DN</t>
  </si>
  <si>
    <t>G-11-01682</t>
  </si>
  <si>
    <t>FA-Rehabilitation of Talikud Farm-to Market Road Network, Kaputian Dist., IGACOS, DN</t>
  </si>
  <si>
    <t xml:space="preserve"> Occ Mindoro</t>
  </si>
  <si>
    <t>G-11-01683</t>
  </si>
  <si>
    <t>Construction/Rehab of Mamburao-Paluan Prov'l Rd. (Maslud-Tinangra Section)</t>
  </si>
  <si>
    <t xml:space="preserve">     RO 4A</t>
  </si>
  <si>
    <t xml:space="preserve"> Batangas</t>
  </si>
  <si>
    <t>G-11-01684</t>
  </si>
  <si>
    <t xml:space="preserve"> Palawan</t>
  </si>
  <si>
    <t>G-11-01685</t>
  </si>
  <si>
    <t>Improvement of  LittleCaramay-Caruray Rd, San Vicente (P7M) ; Improvement of Canadican Almanguan Rd, San Vicente (P7M) 
Rehab/Improvement of Tagumpay-Maliko Rd, Roxas (P6M)</t>
  </si>
  <si>
    <t>Romblon</t>
  </si>
  <si>
    <t>G-11-01686</t>
  </si>
  <si>
    <t>Concreting of Malilico Provl Rd, Odiongan (P17.6M); Construction of Water System ub Brgy Sto Niño, Sta Maria (P0.9M);
Electrification of Sitio Agtacol, Agojo, Looc (P1M); Repair/Rehab of Busay Farm-to-Market Rd. Busay San Jose (P0.5M)</t>
  </si>
  <si>
    <t xml:space="preserve">     RO 5</t>
  </si>
  <si>
    <t xml:space="preserve"> Albay</t>
  </si>
  <si>
    <t>G-11-01687</t>
  </si>
  <si>
    <t>G-11-01688</t>
  </si>
  <si>
    <t>Improvement/Reconst. Of Mahatao Fish Port Bulkhead - C</t>
  </si>
  <si>
    <t>Rehab/Imprvt. Of Rudleken Junction Provincial Road</t>
  </si>
  <si>
    <t>Const. of San Vicente, Ivana Shelterport</t>
  </si>
  <si>
    <t>Const. of Uyugan Centro Port bulkhead and PCCP</t>
  </si>
  <si>
    <t>Rehab of Sabtang Mini-Iceplant</t>
  </si>
  <si>
    <t>Concreting of Basco-Songsong Provincial Road</t>
  </si>
  <si>
    <t xml:space="preserve"> Leyte</t>
  </si>
  <si>
    <t>G-11-01739</t>
  </si>
  <si>
    <t xml:space="preserve">     CAR</t>
  </si>
  <si>
    <t xml:space="preserve"> Apayao</t>
  </si>
  <si>
    <t>G-11-01669</t>
  </si>
  <si>
    <t>La Trinidad, Benguet</t>
  </si>
  <si>
    <t>G-11-01670</t>
  </si>
  <si>
    <t>Boac, Marinduque</t>
  </si>
  <si>
    <t>G-11-01671</t>
  </si>
  <si>
    <t xml:space="preserve"> Ifugao</t>
  </si>
  <si>
    <t>G-11-01673</t>
  </si>
  <si>
    <t xml:space="preserve"> Camarines Norte</t>
  </si>
  <si>
    <t>G-11-01674</t>
  </si>
  <si>
    <t xml:space="preserve">     RO 7</t>
  </si>
  <si>
    <t xml:space="preserve"> Bohol</t>
  </si>
  <si>
    <t>G-11-01675</t>
  </si>
  <si>
    <t xml:space="preserve">     RO 13</t>
  </si>
  <si>
    <t>Surigao DN</t>
  </si>
  <si>
    <t>G-11-01676</t>
  </si>
  <si>
    <t>Compostela Valley</t>
  </si>
  <si>
    <t>G-11-01678</t>
  </si>
  <si>
    <t>FA for the implementation of the ff: 
-Const. of multi-purpose building (Pantukan Gym)
-Implementation of water system proj. provincewide
-Rehab/improvement of sch. facilities provincewide
-Const. of multi-purpose hall at Magnana NHS at Pantukan, CV
-Const. of multi-purpose hall at Naboc Elem. School, Monkayo, CV
-Const. of multi-purpose hall at Don Vicente Romualdez National HS at Laak, CV
-Const. of Brgy Prosperidad Day Care Center at Montevista, CV
-Const. of Brgy Mahayahay Day Care Center at Maragusan, CV</t>
  </si>
  <si>
    <t xml:space="preserve">     RO 10</t>
  </si>
  <si>
    <t>Misamis Or</t>
  </si>
  <si>
    <t>G-11-01672</t>
  </si>
  <si>
    <t xml:space="preserve">     RO 6</t>
  </si>
  <si>
    <t>G-11-01837</t>
  </si>
  <si>
    <t>LD of Guimaras</t>
  </si>
  <si>
    <t>G-11-01585</t>
  </si>
  <si>
    <t>Antipolo City I</t>
  </si>
  <si>
    <t>G-11-01586</t>
  </si>
  <si>
    <t xml:space="preserve"> Quirino</t>
  </si>
  <si>
    <t>G-11-01587</t>
  </si>
  <si>
    <t>Camarines Sur IV</t>
  </si>
  <si>
    <t>G-11-01593</t>
  </si>
  <si>
    <t>Mun. of Tigaon, CS</t>
  </si>
  <si>
    <t>Mun. of Sagñay, CS</t>
  </si>
  <si>
    <t>Mun. of Garchitorena, CS</t>
  </si>
  <si>
    <t xml:space="preserve"> Lone District of N. Vizcaya</t>
  </si>
  <si>
    <t>G-11-01595</t>
  </si>
  <si>
    <t>Brgy Malasin , Dupax del Norte</t>
  </si>
  <si>
    <t>MPBldg -SC</t>
  </si>
  <si>
    <t>Brgy Almaguer North, Bambang</t>
  </si>
  <si>
    <t>MPBldg</t>
  </si>
  <si>
    <t>Brgy San Pedro, Bagabag</t>
  </si>
  <si>
    <t xml:space="preserve">MultiCab </t>
  </si>
  <si>
    <t xml:space="preserve">     RO 1</t>
  </si>
  <si>
    <t xml:space="preserve"> Ilocos Norte I</t>
  </si>
  <si>
    <t>G-11-01597</t>
  </si>
  <si>
    <t xml:space="preserve">     NCR</t>
  </si>
  <si>
    <t>QC I</t>
  </si>
  <si>
    <t>G-11-01608</t>
  </si>
  <si>
    <t xml:space="preserve">     RO 3</t>
  </si>
  <si>
    <t>Sta Rosa, N Ecija</t>
  </si>
  <si>
    <t>G-11-01609</t>
  </si>
  <si>
    <t>Cebu City II</t>
  </si>
  <si>
    <t>G-11-01610</t>
  </si>
  <si>
    <t xml:space="preserve"> N Ecija II</t>
  </si>
  <si>
    <t>G-11-01612</t>
  </si>
  <si>
    <t>Laguna III</t>
  </si>
  <si>
    <t>G-11-01620</t>
  </si>
  <si>
    <t xml:space="preserve">     RO 12</t>
  </si>
  <si>
    <t xml:space="preserve"> Lanao DS II</t>
  </si>
  <si>
    <t>G-11-01621</t>
  </si>
  <si>
    <t>1. Malabang, Lanao del Sur</t>
  </si>
  <si>
    <t>2. Picong, Lanao del Sur</t>
  </si>
  <si>
    <t>Masbate I</t>
  </si>
  <si>
    <t>G-11-01625</t>
  </si>
  <si>
    <t xml:space="preserve"> LD of Malabon City</t>
  </si>
  <si>
    <t>G-11-01633</t>
  </si>
  <si>
    <t>Cavite VII</t>
  </si>
  <si>
    <t>G-11-01636</t>
  </si>
  <si>
    <t>LD of Mandaluyong City</t>
  </si>
  <si>
    <t>G-11-01638</t>
  </si>
  <si>
    <t xml:space="preserve">     RO 9</t>
  </si>
  <si>
    <t xml:space="preserve"> Languyan, Tawi-Tawi</t>
  </si>
  <si>
    <t>G-11-01639</t>
  </si>
  <si>
    <t>Laguna IV</t>
  </si>
  <si>
    <t>G-11-01646</t>
  </si>
  <si>
    <t>Baras, Ballesteros, Cagayan</t>
  </si>
  <si>
    <t>G-11-01657</t>
  </si>
  <si>
    <t>Electrification Program Brgy Baras</t>
  </si>
  <si>
    <t xml:space="preserve"> Nipa, Concepcion, Iloilo</t>
  </si>
  <si>
    <t>G-11-01658</t>
  </si>
  <si>
    <t xml:space="preserve"> Basilan</t>
  </si>
  <si>
    <t>G-11-01659</t>
  </si>
  <si>
    <t xml:space="preserve"> Labangon, Cebu City</t>
  </si>
  <si>
    <t>G-11-01660</t>
  </si>
  <si>
    <t xml:space="preserve"> CDO City</t>
  </si>
  <si>
    <t>G-11-01662</t>
  </si>
  <si>
    <t>Tarlac City</t>
  </si>
  <si>
    <t>G-11-01663</t>
  </si>
  <si>
    <t>Pangasinan</t>
  </si>
  <si>
    <t>G-11-01664</t>
  </si>
  <si>
    <t xml:space="preserve"> Maa, Davao City</t>
  </si>
  <si>
    <t>G-11-01665</t>
  </si>
  <si>
    <t>FA-const./rehab. of the stone masonry at Datu Loho Creek, Brgy. Maa, DC</t>
  </si>
  <si>
    <t>PI Garcia, Naval, Biliran</t>
  </si>
  <si>
    <t>G-11-01666</t>
  </si>
  <si>
    <t xml:space="preserve"> Uno, Pagsanjan, Laguna</t>
  </si>
  <si>
    <t>G-11-01668</t>
  </si>
  <si>
    <t>Cavite I</t>
  </si>
  <si>
    <t>G-11-01689</t>
  </si>
  <si>
    <t>G-11-01691</t>
  </si>
  <si>
    <t>Negros Or I</t>
  </si>
  <si>
    <t>G-11-01692</t>
  </si>
  <si>
    <t>QC III</t>
  </si>
  <si>
    <t>G-11-01737</t>
  </si>
  <si>
    <t>G-11-01787</t>
  </si>
  <si>
    <t>Antequera, Bohol</t>
  </si>
  <si>
    <t>G-11-01788</t>
  </si>
  <si>
    <t>San Fernando City</t>
  </si>
  <si>
    <t>G-11-01789</t>
  </si>
  <si>
    <t>Daku, Gen Luna, Surigao DN</t>
  </si>
  <si>
    <t>G-11-01804</t>
  </si>
  <si>
    <t xml:space="preserve"> LD of N Vizcaya</t>
  </si>
  <si>
    <t>G-11-01838</t>
  </si>
  <si>
    <t>Diadi, NV</t>
  </si>
  <si>
    <t>FMR - Brgy Lurad</t>
  </si>
  <si>
    <t>Sta Fe, NV</t>
  </si>
  <si>
    <t>G-11-01712</t>
  </si>
  <si>
    <t>G-11-01895</t>
  </si>
  <si>
    <t xml:space="preserve">FA for the implementation of the ff:
- Water system projects (provincewide) - P2M
-Rehabilitation/Improvement of School Facilities </t>
  </si>
  <si>
    <t>Quezon IV</t>
  </si>
  <si>
    <t>G-11-01896</t>
  </si>
  <si>
    <t xml:space="preserve">     RO 3 </t>
  </si>
  <si>
    <t>Talugtug, N Ecija. Correction of the total amount previously released under SARO-BMB-G-11-T000002681</t>
  </si>
  <si>
    <t>G-11-01897</t>
  </si>
  <si>
    <t xml:space="preserve"> Negros Or I</t>
  </si>
  <si>
    <t>G-11-01937</t>
  </si>
  <si>
    <t>Albay I</t>
  </si>
  <si>
    <t>G-11-01976</t>
  </si>
  <si>
    <t>Manila</t>
  </si>
  <si>
    <t>G-11-01980</t>
  </si>
  <si>
    <t>Baguio City</t>
  </si>
  <si>
    <t>G-11-01981</t>
  </si>
  <si>
    <t>G-11-01982</t>
  </si>
  <si>
    <t>G-11-01983</t>
  </si>
  <si>
    <t>Bacolod City</t>
  </si>
  <si>
    <t>G-11-01984</t>
  </si>
  <si>
    <t>G-11-01985</t>
  </si>
  <si>
    <t>Hilongos, Leyte</t>
  </si>
  <si>
    <t>G-11-01986</t>
  </si>
  <si>
    <t>G-11-01987</t>
  </si>
  <si>
    <t xml:space="preserve">Gingoog City </t>
  </si>
  <si>
    <t xml:space="preserve">Bukidnon </t>
  </si>
  <si>
    <t>Iligan City</t>
  </si>
  <si>
    <t>Kidapawan City</t>
  </si>
  <si>
    <t>G-11-01988</t>
  </si>
  <si>
    <t>G-11-01989</t>
  </si>
  <si>
    <t>Construction/Repair/Rehab/Renovation of Public market at P500,000 each (see attached list)</t>
  </si>
  <si>
    <t>G-11-01990</t>
  </si>
  <si>
    <t>Compostela, CV</t>
  </si>
  <si>
    <t>FA- Construction/ repair/ rehabilitation/  renovation of public market</t>
  </si>
  <si>
    <t>Laak, CV</t>
  </si>
  <si>
    <t>Mabini, CV</t>
  </si>
  <si>
    <t>Maco, CV</t>
  </si>
  <si>
    <t>Maragusan, CV</t>
  </si>
  <si>
    <t>Mawab, CV</t>
  </si>
  <si>
    <t>Monkayo, CV</t>
  </si>
  <si>
    <t>Nabunturan, CV</t>
  </si>
  <si>
    <t>New Bataan, CV</t>
  </si>
  <si>
    <t>Braulio E. Dujali, DN</t>
  </si>
  <si>
    <t>Carmen, DN</t>
  </si>
  <si>
    <t>Kapalong, DN</t>
  </si>
  <si>
    <t>New Corella, DN</t>
  </si>
  <si>
    <t>San Isidro, DN</t>
  </si>
  <si>
    <t>Sto. Tomas, DN</t>
  </si>
  <si>
    <t>Talaingod, DN</t>
  </si>
  <si>
    <t>Bansalan, DS</t>
  </si>
  <si>
    <t>Don Marcelino, DS</t>
  </si>
  <si>
    <t>Jose Abad Santos, DS</t>
  </si>
  <si>
    <t>Kiblawan, DS</t>
  </si>
  <si>
    <t>Magsaysay, DS</t>
  </si>
  <si>
    <t>Malita, DS</t>
  </si>
  <si>
    <t>Padada, DS</t>
  </si>
  <si>
    <t>Sarangani, DS</t>
  </si>
  <si>
    <t>Sta. Maria, DS</t>
  </si>
  <si>
    <t>Sulop, DS</t>
  </si>
  <si>
    <t>Baganga, DO</t>
  </si>
  <si>
    <t>Boston, DO</t>
  </si>
  <si>
    <t>Caraga, DO</t>
  </si>
  <si>
    <t>Cateel, DO</t>
  </si>
  <si>
    <t>Lupon, DO</t>
  </si>
  <si>
    <t>Manay, DO</t>
  </si>
  <si>
    <t>San Isidro, DO</t>
  </si>
  <si>
    <t>Montevista, CV</t>
  </si>
  <si>
    <t>Asuncion, DN</t>
  </si>
  <si>
    <t>Hagonoy, DS</t>
  </si>
  <si>
    <t>Malalag, DS</t>
  </si>
  <si>
    <t>Matanao, DS</t>
  </si>
  <si>
    <t>Sta. Cruz, DS</t>
  </si>
  <si>
    <t>Banaybanay, DO</t>
  </si>
  <si>
    <t>Gov. Generoso, DO</t>
  </si>
  <si>
    <t>Tarragona, DO</t>
  </si>
  <si>
    <t>G-11-01991</t>
  </si>
  <si>
    <t>Caramoan, Catanduanes</t>
  </si>
  <si>
    <t>G-11-01992</t>
  </si>
  <si>
    <t>G-11-01993</t>
  </si>
  <si>
    <t>Tapon, Dalaguete, Cebu</t>
  </si>
  <si>
    <t>G-11-01994</t>
  </si>
  <si>
    <t>La Paz, Iloilo City</t>
  </si>
  <si>
    <t>G-11-01995</t>
  </si>
  <si>
    <t>Sta Barbara, Bacolor, Pampanga</t>
  </si>
  <si>
    <t>G-11-01996</t>
  </si>
  <si>
    <t>Tavora Proper, Pugo, La Union</t>
  </si>
  <si>
    <t>G-11-01997</t>
  </si>
  <si>
    <t>G-11-01998</t>
  </si>
  <si>
    <t>G-11-01999</t>
  </si>
  <si>
    <t>Sto Domingo, Albay</t>
  </si>
  <si>
    <t>G-11-02000</t>
  </si>
  <si>
    <t>Valenzuela City</t>
  </si>
  <si>
    <t>G-11-02001</t>
  </si>
  <si>
    <t>G-11-02002</t>
  </si>
  <si>
    <t>Mun. of Bacacay, Albay</t>
  </si>
  <si>
    <t>Legazpi City, Albay</t>
  </si>
  <si>
    <t>Mun. of Daraga, Albay</t>
  </si>
  <si>
    <t>Bongao, Tawi-Tawi</t>
  </si>
  <si>
    <t>G-11-02004</t>
  </si>
  <si>
    <t>Patikul, Sulu</t>
  </si>
  <si>
    <t>G-11-02005</t>
  </si>
  <si>
    <t>Saguiran, Lanao DS</t>
  </si>
  <si>
    <t>G-11-02006</t>
  </si>
  <si>
    <t>Tipo-Tipo, Basilan</t>
  </si>
  <si>
    <t>G-11-02007</t>
  </si>
  <si>
    <t>Maguindanao</t>
  </si>
  <si>
    <t>G-11-02008</t>
  </si>
  <si>
    <t>G-11-02091</t>
  </si>
  <si>
    <t>LD of Tawi-Tawi</t>
  </si>
  <si>
    <t>G-11-02070</t>
  </si>
  <si>
    <t>G-11-02071</t>
  </si>
  <si>
    <t>G-11-02072</t>
  </si>
  <si>
    <t>G-11-02097</t>
  </si>
  <si>
    <t>Sagbayan, Bohol</t>
  </si>
  <si>
    <t>G-11-02099</t>
  </si>
  <si>
    <t>Polangui, Albay</t>
  </si>
  <si>
    <t>G-11-02100</t>
  </si>
  <si>
    <t>G-11-02113</t>
  </si>
  <si>
    <t>G-11-02116</t>
  </si>
  <si>
    <t>Tayabas, Quezon</t>
  </si>
  <si>
    <t>G-11-02117</t>
  </si>
  <si>
    <t>G-11-02118</t>
  </si>
  <si>
    <t>G-11-02119</t>
  </si>
  <si>
    <t>G-11-02120</t>
  </si>
  <si>
    <t>G-11-02121</t>
  </si>
  <si>
    <t>Palo, Leyte</t>
  </si>
  <si>
    <t>G-11-02122</t>
  </si>
  <si>
    <t>Plaridel, Misamis Occ</t>
  </si>
  <si>
    <t>G-11-02123</t>
  </si>
  <si>
    <t>Visayan Village, Tagum City</t>
  </si>
  <si>
    <t>G-11-02124</t>
  </si>
  <si>
    <t>FA-construction of concrete lining for drainage system along Cadastral Road from Purok Cacao,Purok Lanzones to Purok Pioneer main creek atBrgy. Visayan Village, Tagum City</t>
  </si>
  <si>
    <t>Butuan City, Agusan DN</t>
  </si>
  <si>
    <t>G-11-02125</t>
  </si>
  <si>
    <t>G-11-02126</t>
  </si>
  <si>
    <t>G-11-02127</t>
  </si>
  <si>
    <t>G-11-02128</t>
  </si>
  <si>
    <t>Mun. of Tiwi, Albay</t>
  </si>
  <si>
    <t>Mun. of Libon, Albay</t>
  </si>
  <si>
    <t>Mun. of Caramoran, Catanduanes</t>
  </si>
  <si>
    <t>Mun. of Camalig, Albay</t>
  </si>
  <si>
    <t>Mun. of Castilla, Sorsogon</t>
  </si>
  <si>
    <t>Mun. of San Jacinto, Masbate</t>
  </si>
  <si>
    <t>Guinsularan, Duero, Bohol</t>
  </si>
  <si>
    <t>G-11-02129</t>
  </si>
  <si>
    <t>Tubigon, Bohol</t>
  </si>
  <si>
    <t>G-11-02135</t>
  </si>
  <si>
    <t>Taguig City</t>
  </si>
  <si>
    <t>G-11-02136</t>
  </si>
  <si>
    <t xml:space="preserve"> Buli, La Paz, Abra</t>
  </si>
  <si>
    <t>G-11-02137</t>
  </si>
  <si>
    <t>G-11-02138</t>
  </si>
  <si>
    <t>Four (4) FMR Rehabilitation</t>
  </si>
  <si>
    <t>Desilting Flood Control Project</t>
  </si>
  <si>
    <t>G-11-02139</t>
  </si>
  <si>
    <t>Concreting/improvement of Poblacion (Proper) Harrison Rd Phase II at Brgy Alipaoy and Harrison</t>
  </si>
  <si>
    <t>G-11-02140</t>
  </si>
  <si>
    <t>Mun. of Baras, Catanduanes</t>
  </si>
  <si>
    <t>Alambique, Surigao DN</t>
  </si>
  <si>
    <t>G-11-02141</t>
  </si>
  <si>
    <t>G-11-02130</t>
  </si>
  <si>
    <t>G-11-02134</t>
  </si>
  <si>
    <t>1. Tamparan, Lanao del Sur</t>
  </si>
  <si>
    <t>2. Tulunan, Cotabato</t>
  </si>
  <si>
    <t xml:space="preserve"> Babatngon, Leyte</t>
  </si>
  <si>
    <t>G-11-02179</t>
  </si>
  <si>
    <t>Delfin Albano, Isabela</t>
  </si>
  <si>
    <t>G-11-02180</t>
  </si>
  <si>
    <t>G-11-02181</t>
  </si>
  <si>
    <t>Or Mindoro</t>
  </si>
  <si>
    <t>G-11-02182</t>
  </si>
  <si>
    <t xml:space="preserve">For the implementation of Alternative Learning System-Basic Literacy Program: Pola, P3.5M; Naujan, P5.0M and Socorro, P3.5M </t>
  </si>
  <si>
    <t>G-11-02183</t>
  </si>
  <si>
    <t>Mahatao, Batanes</t>
  </si>
  <si>
    <t>Installation of Solar Lamp Posts &amp; Accessories</t>
  </si>
  <si>
    <t>Brgy Bacnor West, Burgos, Isabela</t>
  </si>
  <si>
    <t>Const. of Fence of Brgy Community Center</t>
  </si>
  <si>
    <t>Occ Mindoro</t>
  </si>
  <si>
    <t>G-11-02184</t>
  </si>
  <si>
    <t>For installation of streetlights along Mindoro West Coast Rd, National Highway</t>
  </si>
  <si>
    <t xml:space="preserve">     RO XI</t>
  </si>
  <si>
    <t>Matanao, Davao DS</t>
  </si>
  <si>
    <t>G-11-02185</t>
  </si>
  <si>
    <t>FA-electrification of Purok Eagle, Brgy. Kauswagan, Matanao, DS - P500,000
FA- streetlighting project in Matanao, DS-P500,000</t>
  </si>
  <si>
    <t>Remedios, Lubao, Pampanga</t>
  </si>
  <si>
    <t>G-11-02189</t>
  </si>
  <si>
    <t>Obi, Caramoran, Catanduanes</t>
  </si>
  <si>
    <t>G-11-02190</t>
  </si>
  <si>
    <t xml:space="preserve"> Borongan City, E Samar</t>
  </si>
  <si>
    <t>G-11-02208</t>
  </si>
  <si>
    <t>QC IV</t>
  </si>
  <si>
    <t>G-11-02227</t>
  </si>
  <si>
    <t>Cebu II</t>
  </si>
  <si>
    <t>G-11-02228</t>
  </si>
  <si>
    <t>Urdaneta City, Pangasinan</t>
  </si>
  <si>
    <t>G-11-01790</t>
  </si>
  <si>
    <t xml:space="preserve"> Gen San City</t>
  </si>
  <si>
    <t>G-11-01791</t>
  </si>
  <si>
    <t>Santiago City, Isabela</t>
  </si>
  <si>
    <t>G-11-01792</t>
  </si>
  <si>
    <t>G-11-01793</t>
  </si>
  <si>
    <t>Naga City, Cam Sur</t>
  </si>
  <si>
    <t>G-11-01794</t>
  </si>
  <si>
    <t>G-11-01795</t>
  </si>
  <si>
    <t>Palawan</t>
  </si>
  <si>
    <t>G-11-01796</t>
  </si>
  <si>
    <t>For the construction of youth homes (Bahay Pag-asa) as part of the implementation of the Juvenile Justice Law</t>
  </si>
  <si>
    <t>Mt Province</t>
  </si>
  <si>
    <t>G-11-01797</t>
  </si>
  <si>
    <t>G-11-01798</t>
  </si>
  <si>
    <t>Banaybanay, Davao Oriental</t>
  </si>
  <si>
    <t>FA- construction of a youth homes (Bahay Pag-asa) as part of the implementation of the Juvenile Justice Law of 2006</t>
  </si>
  <si>
    <t>Carmen, Davao del Norte</t>
  </si>
  <si>
    <t>G-11-01799</t>
  </si>
  <si>
    <t xml:space="preserve"> Various LGUs</t>
  </si>
  <si>
    <t>G-11-01800</t>
  </si>
  <si>
    <t>Cagayan de Oro City</t>
  </si>
  <si>
    <t>Zamboanga City</t>
  </si>
  <si>
    <t>G-11-01801</t>
  </si>
  <si>
    <t>Mandaluyong City</t>
  </si>
  <si>
    <t>G-11-01802</t>
  </si>
  <si>
    <t xml:space="preserve"> Tagbilaran City</t>
  </si>
  <si>
    <t>G-11-01803</t>
  </si>
  <si>
    <t>G-11-02312</t>
  </si>
  <si>
    <t>San Pascual, Masbate</t>
  </si>
  <si>
    <t>G-11-02319</t>
  </si>
  <si>
    <t xml:space="preserve"> LD of Quirino</t>
  </si>
  <si>
    <t>G-11-02320</t>
  </si>
  <si>
    <t xml:space="preserve"> N Samar I</t>
  </si>
  <si>
    <t>G-11-02325</t>
  </si>
  <si>
    <t>Tigaon, Cam Sur</t>
  </si>
  <si>
    <t>G-11-02326</t>
  </si>
  <si>
    <t>G-11-02330</t>
  </si>
  <si>
    <t>G-11-02333</t>
  </si>
  <si>
    <t>G-11-02337</t>
  </si>
  <si>
    <t xml:space="preserve"> LD of Dasmariñas City</t>
  </si>
  <si>
    <t>G-11-02341</t>
  </si>
  <si>
    <t xml:space="preserve"> CDO City II</t>
  </si>
  <si>
    <t>G-11-02360</t>
  </si>
  <si>
    <t xml:space="preserve"> Cebu III</t>
  </si>
  <si>
    <t>G-11-02361</t>
  </si>
  <si>
    <t>Pakil, Laguna</t>
  </si>
  <si>
    <t>G-11-02363</t>
  </si>
  <si>
    <t xml:space="preserve"> San Leonardo, N Ecija</t>
  </si>
  <si>
    <t>G-11-02370</t>
  </si>
  <si>
    <t>Talisay, Batangas</t>
  </si>
  <si>
    <t>G-11-02299</t>
  </si>
  <si>
    <t xml:space="preserve"> Buli-Buli, Sumisip, Basilan</t>
  </si>
  <si>
    <t>G-11-02300</t>
  </si>
  <si>
    <t>Cabiao, N Ecija</t>
  </si>
  <si>
    <t>G-11-02301</t>
  </si>
  <si>
    <t>Guindulman, Bohol</t>
  </si>
  <si>
    <t>G-11-02302</t>
  </si>
  <si>
    <t>Gen San City</t>
  </si>
  <si>
    <t>G-11-02385</t>
  </si>
  <si>
    <t>G-11-01845</t>
  </si>
  <si>
    <t>RA 9970, p.952</t>
  </si>
  <si>
    <t>Benguet Province</t>
  </si>
  <si>
    <t>Ifugao Province</t>
  </si>
  <si>
    <t>Banaue, Ifugao</t>
  </si>
  <si>
    <t>Kiangan, Ifugao</t>
  </si>
  <si>
    <t>Lagaw, Ifugao</t>
  </si>
  <si>
    <t>Mayoyao, Ifugao</t>
  </si>
  <si>
    <t>Tinoc, Ifugao</t>
  </si>
  <si>
    <t>Asipulo, Ifugao</t>
  </si>
  <si>
    <t>Hingyon, Ifugao</t>
  </si>
  <si>
    <t>Lamut, Ifugao</t>
  </si>
  <si>
    <t>Pilar, Abra</t>
  </si>
  <si>
    <t>Tubo, Abra</t>
  </si>
  <si>
    <t>Apayao, Province</t>
  </si>
  <si>
    <t>Calanasan, Apayao</t>
  </si>
  <si>
    <t>Conner, Apayao</t>
  </si>
  <si>
    <t>Flora, Apayao</t>
  </si>
  <si>
    <t>Luna, Apayao</t>
  </si>
  <si>
    <t>Santa Marcela, Apayao</t>
  </si>
  <si>
    <t>Bakun, Benguet</t>
  </si>
  <si>
    <t>Buguias, Benguet</t>
  </si>
  <si>
    <t>Tuba, Benguet</t>
  </si>
  <si>
    <t>Kalinga Province</t>
  </si>
  <si>
    <t>Tanudan, Kalinga</t>
  </si>
  <si>
    <t>Besao, Mt. Province</t>
  </si>
  <si>
    <t>Bontoc, Mt. Province</t>
  </si>
  <si>
    <t>Sabangan, Mt. Province</t>
  </si>
  <si>
    <t>Sagada, Mt. Province</t>
  </si>
  <si>
    <t>Tadian, Mt. Province</t>
  </si>
  <si>
    <t>Lagangilang, Abra</t>
  </si>
  <si>
    <t>San Juan, Abra</t>
  </si>
  <si>
    <t>Kabugao, Apayao</t>
  </si>
  <si>
    <t>Bokod, Benguet</t>
  </si>
  <si>
    <t>Kibungan, Benguet</t>
  </si>
  <si>
    <t>Rizal (Liwan), Kalinga</t>
  </si>
  <si>
    <t>G-11-01846</t>
  </si>
  <si>
    <t xml:space="preserve">         Bacarra, Ilocos Norte (700)</t>
  </si>
  <si>
    <t xml:space="preserve">         Badoc, Iolcos Norte (700)</t>
  </si>
  <si>
    <t xml:space="preserve">         Banna, Ilocos Norte (600)</t>
  </si>
  <si>
    <t xml:space="preserve">         Dingras, Ilocos Norte (800)</t>
  </si>
  <si>
    <t xml:space="preserve">         Pagudgud, Ilocos Norte (700)</t>
  </si>
  <si>
    <t xml:space="preserve">         Currimao, Ilocos Norte (400)</t>
  </si>
  <si>
    <t xml:space="preserve">         Alilem, Ilocos Sur (500)</t>
  </si>
  <si>
    <t xml:space="preserve">         Banayoyo, Ilocos Sur (400)</t>
  </si>
  <si>
    <t xml:space="preserve">         Cervantes, Ilocos Sur (700)</t>
  </si>
  <si>
    <t xml:space="preserve">         Galimuyod, Ilocos Sur (400)</t>
  </si>
  <si>
    <t xml:space="preserve">         G. del Pilar, Ilocos Sur (400)</t>
  </si>
  <si>
    <t xml:space="preserve">         Lidlidda, Ilocos Sur (300)</t>
  </si>
  <si>
    <t xml:space="preserve">         Quirino, Ilocos Sur (600)</t>
  </si>
  <si>
    <t xml:space="preserve">         Salcedo, Ilocos Sur (500)</t>
  </si>
  <si>
    <t xml:space="preserve">         San Emilio, Ilocos Sur (500)</t>
  </si>
  <si>
    <t xml:space="preserve">         Sta. Cruz, Ilocos Sur (800)</t>
  </si>
  <si>
    <t xml:space="preserve">         Sta. Lucia, Ilocos Sur (600)</t>
  </si>
  <si>
    <t xml:space="preserve">         Santiago, Ilocos Sur (500)</t>
  </si>
  <si>
    <t xml:space="preserve">         Sigay, Ilocos Sur (400)</t>
  </si>
  <si>
    <t xml:space="preserve">         Sugpon, Ilocos Sur (400)</t>
  </si>
  <si>
    <t xml:space="preserve">         Suyo, Ilocos Sur (500)</t>
  </si>
  <si>
    <t xml:space="preserve">         Tagudin, Ilocos Sur (800)</t>
  </si>
  <si>
    <t xml:space="preserve">         Candon City, Ilocos Sur (15,000)</t>
  </si>
  <si>
    <t xml:space="preserve">         Burgos, Ilocos Sur (400)</t>
  </si>
  <si>
    <t xml:space="preserve">         Nagbukel, Ilocos Sur (400)</t>
  </si>
  <si>
    <t xml:space="preserve">         Narvacan, Ilocos Sur (900)</t>
  </si>
  <si>
    <t xml:space="preserve">         San Esteban, Ilocos Sur (400)</t>
  </si>
  <si>
    <t xml:space="preserve">         Santa, Ilcos Sur (500)</t>
  </si>
  <si>
    <t xml:space="preserve">         Sta. Maria, Ilocos Sur (600)</t>
  </si>
  <si>
    <t xml:space="preserve">         Bantay, Ilocos Sur (700)</t>
  </si>
  <si>
    <t xml:space="preserve">         Cabugao, Ilocos Sur (800)</t>
  </si>
  <si>
    <t xml:space="preserve">         Caoayan, Ilocos Sur (500)</t>
  </si>
  <si>
    <t xml:space="preserve">         Magsingal, Ilocos Sur (700)</t>
  </si>
  <si>
    <t xml:space="preserve">         San Ildefonso, Ilocos Sur (300)</t>
  </si>
  <si>
    <t xml:space="preserve">         San Juan, Ilocos Sur (600)</t>
  </si>
  <si>
    <t xml:space="preserve">         San Vicente, Ilocos Sur (400)</t>
  </si>
  <si>
    <t xml:space="preserve">         Santa Catalina, Ilocos Sur (400)</t>
  </si>
  <si>
    <t xml:space="preserve">         Sto. Domingo, Ilocos Sur (600)</t>
  </si>
  <si>
    <t xml:space="preserve">         Sinait, Ilocos Sur (600)</t>
  </si>
  <si>
    <t xml:space="preserve">         Vigan City, Ilocos Sur (10,000)</t>
  </si>
  <si>
    <t xml:space="preserve">         Agoo, La Union (1,000)</t>
  </si>
  <si>
    <t xml:space="preserve">         Aringay, La Union (800)</t>
  </si>
  <si>
    <t xml:space="preserve">         Caba, La Union (500)</t>
  </si>
  <si>
    <t xml:space="preserve">         Pugo, La Union (500)</t>
  </si>
  <si>
    <t xml:space="preserve">         Rosario, La Union (900)</t>
  </si>
  <si>
    <t xml:space="preserve">         Sto. Tomas , La Union (700)</t>
  </si>
  <si>
    <t xml:space="preserve">         Tubao, La Union (600)</t>
  </si>
  <si>
    <t xml:space="preserve">         Bagulin, La Union (500)</t>
  </si>
  <si>
    <t xml:space="preserve">         Burgos, La Union (400)</t>
  </si>
  <si>
    <t xml:space="preserve">         Naguilian, La Union (900)</t>
  </si>
  <si>
    <t xml:space="preserve">         Agno, Pangasinan (800)</t>
  </si>
  <si>
    <t xml:space="preserve">         Bani, Pangasinan (1,000)</t>
  </si>
  <si>
    <t xml:space="preserve">         Bolinao, Pangasinan (1,000)</t>
  </si>
  <si>
    <t xml:space="preserve">         Burgos, Pangasinan (600)</t>
  </si>
  <si>
    <t xml:space="preserve">         Dasol, Pangasinan (800)</t>
  </si>
  <si>
    <t xml:space="preserve">         Infanta, Pangasinan (800)</t>
  </si>
  <si>
    <t xml:space="preserve">         Mabini, Pangasinan (900)</t>
  </si>
  <si>
    <t xml:space="preserve">         Alaminos, Pangasinan (20,000)</t>
  </si>
  <si>
    <t xml:space="preserve">         Provice of Pangasinan (40,000)</t>
  </si>
  <si>
    <t xml:space="preserve">         Aguilar, Pangasinan (900)</t>
  </si>
  <si>
    <t xml:space="preserve">         Binmaley, Pangasinan (1,000)</t>
  </si>
  <si>
    <t xml:space="preserve">         Bugallon, Pangasinan  (1,000)</t>
  </si>
  <si>
    <t xml:space="preserve">         Lingayen, Pangasinan (1,000)</t>
  </si>
  <si>
    <t xml:space="preserve">         Alcala, Pangasinan (700)</t>
  </si>
  <si>
    <t xml:space="preserve">         Asingan, Pangasinan (900)</t>
  </si>
  <si>
    <t xml:space="preserve">         Bautista, Pangasinan (600)</t>
  </si>
  <si>
    <t xml:space="preserve">         Laoac, Pangasinan (600)</t>
  </si>
  <si>
    <t xml:space="preserve">         Pozzorubio, Pangasinan (1,000)</t>
  </si>
  <si>
    <t xml:space="preserve">         Rosales, Pangasinan (1,000)</t>
  </si>
  <si>
    <t xml:space="preserve">         Santo Tomas, Pangasinan (400)</t>
  </si>
  <si>
    <t xml:space="preserve">         Sison, Pangasinanan (800)</t>
  </si>
  <si>
    <t xml:space="preserve">         Urdaneta City, Pangasinan (20,000)</t>
  </si>
  <si>
    <t xml:space="preserve">         Natividad, Pangasinan (700)</t>
  </si>
  <si>
    <t xml:space="preserve">         San Nicolas, Pangasinan (900)</t>
  </si>
  <si>
    <t xml:space="preserve">         San Quintin, Pangasinan (700)</t>
  </si>
  <si>
    <t xml:space="preserve">         Sta. Maria, Pangasinan (700)</t>
  </si>
  <si>
    <t xml:space="preserve">         Tayug, Pangasinan (700)</t>
  </si>
  <si>
    <t xml:space="preserve">         Umingan, Pangasinan (1,000)</t>
  </si>
  <si>
    <t xml:space="preserve">         Mangaldan, Pangasinan (1,000)</t>
  </si>
  <si>
    <t xml:space="preserve">         San Fabian, Pangasinan (1,000)</t>
  </si>
  <si>
    <t xml:space="preserve">         Dagupan City, Pangasinan (15,000)</t>
  </si>
  <si>
    <t xml:space="preserve">         Calasiao, Pangasinan (1,000)</t>
  </si>
  <si>
    <t xml:space="preserve">         Mapandan, Pangasinan (700)</t>
  </si>
  <si>
    <t xml:space="preserve">         Basista, Pangasinan (600)</t>
  </si>
  <si>
    <t xml:space="preserve">         Urbiztondo, Pangasinan (800)</t>
  </si>
  <si>
    <t xml:space="preserve">         San Carlos City, Pangasinan (25,000)</t>
  </si>
  <si>
    <t xml:space="preserve">         Villasis, Pangasinan (1,000)</t>
  </si>
  <si>
    <t xml:space="preserve">         Province of Ilocos Sur (15,000)</t>
  </si>
  <si>
    <t xml:space="preserve">         Province of Ilocos Norte (15,000)</t>
  </si>
  <si>
    <t xml:space="preserve">         Adams, Ilocos Norte (500)</t>
  </si>
  <si>
    <t xml:space="preserve">         Bangui, Ilocos Norte (600)</t>
  </si>
  <si>
    <t xml:space="preserve">         Burgos, Ilocos Norte (500)</t>
  </si>
  <si>
    <t xml:space="preserve">         Carasi, Ilocos Norte (400)</t>
  </si>
  <si>
    <t xml:space="preserve">         Marcos, Ilocos Norte (500)</t>
  </si>
  <si>
    <t xml:space="preserve">         Paoay, Ilocos Norte (600)</t>
  </si>
  <si>
    <t xml:space="preserve">         San Nicolas, Ilocos Norte (700)</t>
  </si>
  <si>
    <t xml:space="preserve">         Sarrat, Ilocos Norte (600)</t>
  </si>
  <si>
    <t xml:space="preserve">         Solsona, Ilocos Norte (700)</t>
  </si>
  <si>
    <t xml:space="preserve">         Vintar, Ilocos Norte (1,000)</t>
  </si>
  <si>
    <t xml:space="preserve">         Laoag City, Ilocos Norte (15,000)</t>
  </si>
  <si>
    <t xml:space="preserve">         Bangar, La Union (700)</t>
  </si>
  <si>
    <t xml:space="preserve">         Bauang, La Union (1,000)</t>
  </si>
  <si>
    <t xml:space="preserve">         Sudipen, La Union (600)</t>
  </si>
  <si>
    <t xml:space="preserve">         Dumalneg, Ilocos Norte (400)</t>
  </si>
  <si>
    <t xml:space="preserve">         Anda, Pangasinan (700)</t>
  </si>
  <si>
    <t xml:space="preserve">         Mangatarem, Pangasinan (1,000)</t>
  </si>
  <si>
    <t xml:space="preserve">          Labrador, Pangasinan (600)</t>
  </si>
  <si>
    <t xml:space="preserve">          Malasiqui, Pangasinan (1,000)</t>
  </si>
  <si>
    <t xml:space="preserve">          San Jacinto, Pangasinan (700)</t>
  </si>
  <si>
    <t xml:space="preserve">          Province of La Union (10,000)</t>
  </si>
  <si>
    <t xml:space="preserve">          City of San Fernando, La Union (20,000)</t>
  </si>
  <si>
    <t xml:space="preserve">          Bacnotan, La Union (800)</t>
  </si>
  <si>
    <t xml:space="preserve">          Balaoan, La Union (800)</t>
  </si>
  <si>
    <t xml:space="preserve">          Luna, La Union (700)</t>
  </si>
  <si>
    <t xml:space="preserve">          San Gabriel, La Union (600)</t>
  </si>
  <si>
    <t xml:space="preserve">          San Juan, La Union (700)</t>
  </si>
  <si>
    <t xml:space="preserve">          Santol, La Union (500)</t>
  </si>
  <si>
    <t>G-11-01847</t>
  </si>
  <si>
    <t>Basco, Batanes</t>
  </si>
  <si>
    <t>Sabtang, Batanes</t>
  </si>
  <si>
    <t>Uyugan, Batanes</t>
  </si>
  <si>
    <t>Abulug, Cagayan</t>
  </si>
  <si>
    <t>Alcala, Cagayan</t>
  </si>
  <si>
    <t>Allacapan, Cagayan</t>
  </si>
  <si>
    <t>Amulung, Cagayan</t>
  </si>
  <si>
    <t>Aparri, Cagayan</t>
  </si>
  <si>
    <t>Baggao, Cagayan</t>
  </si>
  <si>
    <t>Ballesteros, Cagayan</t>
  </si>
  <si>
    <t>Buguey, Cagayan</t>
  </si>
  <si>
    <t>Calayan, Cagayan</t>
  </si>
  <si>
    <t>Camalaniugan, Cagayan</t>
  </si>
  <si>
    <t>Claveria, Cagayan</t>
  </si>
  <si>
    <t>Enrile, Cagayan</t>
  </si>
  <si>
    <t>Gattaran, Cagayan</t>
  </si>
  <si>
    <t>Gonzaga, Cagayan</t>
  </si>
  <si>
    <t>Iguig, Cagayan</t>
  </si>
  <si>
    <t>Lallo, Cagayan</t>
  </si>
  <si>
    <t>Lasam, Cagayan</t>
  </si>
  <si>
    <t>Pamplona, Cagayan</t>
  </si>
  <si>
    <t>Peñablanca, Cagayan</t>
  </si>
  <si>
    <t>Piat, Cagayan</t>
  </si>
  <si>
    <t>Rizal, Cagayan</t>
  </si>
  <si>
    <t>Sanchez Mira, Cagayan</t>
  </si>
  <si>
    <t>Santa Ana, Cagayan</t>
  </si>
  <si>
    <t>Santa Praxedes, Cagayan</t>
  </si>
  <si>
    <t>Sta. Teresita, Cagayan</t>
  </si>
  <si>
    <t>Sto. Niño, Cagayan</t>
  </si>
  <si>
    <t>Solana, Cagayan</t>
  </si>
  <si>
    <t>Tuao, Cagayan</t>
  </si>
  <si>
    <t>Tuguegarao City, Cagayan</t>
  </si>
  <si>
    <t xml:space="preserve">    Province of Isabela</t>
  </si>
  <si>
    <t>Alicia, Isabela</t>
  </si>
  <si>
    <t>Angadanan, Isabela</t>
  </si>
  <si>
    <t>Aurora, Isabela</t>
  </si>
  <si>
    <t>Benito Soliven, Isabela</t>
  </si>
  <si>
    <t>Burgos, Isabela</t>
  </si>
  <si>
    <t>Cabagan, Isabela</t>
  </si>
  <si>
    <t>Cabatuan, Isabela</t>
  </si>
  <si>
    <t>Cordon, Isabela</t>
  </si>
  <si>
    <t>Delfin Albano (Magsaysay), Isabela</t>
  </si>
  <si>
    <t>Dinapigue, Isabela</t>
  </si>
  <si>
    <t>Divilacan, Isabela</t>
  </si>
  <si>
    <t>Echague, Isabela</t>
  </si>
  <si>
    <t>Gamu, Isabela</t>
  </si>
  <si>
    <t>Ilagan, Isabela</t>
  </si>
  <si>
    <t>Jones, Isabela</t>
  </si>
  <si>
    <t>Luna, Isabela</t>
  </si>
  <si>
    <t>Maconacon, Isabela</t>
  </si>
  <si>
    <t>Mallig, Isabela</t>
  </si>
  <si>
    <t>Naguilian, Isabela</t>
  </si>
  <si>
    <t>Quezon, Isabela</t>
  </si>
  <si>
    <t>Quirino, Isabela</t>
  </si>
  <si>
    <t>Ramon, Isabela</t>
  </si>
  <si>
    <t>Reina Mercedes, Isabela</t>
  </si>
  <si>
    <t>Roxas, Isabela</t>
  </si>
  <si>
    <t>San Agustin, Isabela</t>
  </si>
  <si>
    <t>San Guillermo, Isabela</t>
  </si>
  <si>
    <t>San Isidro, Isabela</t>
  </si>
  <si>
    <t>San Manuel, Isabela</t>
  </si>
  <si>
    <t>San Mariano, Isabela</t>
  </si>
  <si>
    <t>San Mateo, Isabela</t>
  </si>
  <si>
    <t>San Pablo, Isabela</t>
  </si>
  <si>
    <t>Sta. Maria, Isabela</t>
  </si>
  <si>
    <t>Sto. Tomas, Isabela</t>
  </si>
  <si>
    <t>Tumauini, Isabela</t>
  </si>
  <si>
    <t>Cauayan City, Isabela</t>
  </si>
  <si>
    <t>Santiago City , Isabela</t>
  </si>
  <si>
    <t xml:space="preserve">   Province of Nueva Vizcaya</t>
  </si>
  <si>
    <t>Alfonso Castaneda, Nueva Vizcaya</t>
  </si>
  <si>
    <t>Ambaguio, Nueva Vizcaya</t>
  </si>
  <si>
    <t>Aritao, Nueva Vizcaya</t>
  </si>
  <si>
    <t>Bagabag, Nueva Vizcaya</t>
  </si>
  <si>
    <t>Bambang, Nueva Vizcaya</t>
  </si>
  <si>
    <t>Bayombong, Nueva Vizcaya</t>
  </si>
  <si>
    <t>Diadi, Nueva Vizcaya</t>
  </si>
  <si>
    <t>Dupax del Norte, Nueva Vizcaya</t>
  </si>
  <si>
    <t>Dupax del Sur, Nueva Vizcaya</t>
  </si>
  <si>
    <t>Kasibu, Nueva Vizcaya</t>
  </si>
  <si>
    <t>Kayapa, Nueva Vizcaya</t>
  </si>
  <si>
    <t>Quezon, Nueva Vizcaya</t>
  </si>
  <si>
    <t>Santa Fe, Nueva Vizcaya</t>
  </si>
  <si>
    <t>Solano, Nueva Vizcaya</t>
  </si>
  <si>
    <t>Villa Verde, Nueva Vizcaya</t>
  </si>
  <si>
    <t xml:space="preserve">   Province of Quirino</t>
  </si>
  <si>
    <t>Aglipay, Quirino</t>
  </si>
  <si>
    <t>Cabarroguis, Quirino</t>
  </si>
  <si>
    <t>Diffun, Quirino</t>
  </si>
  <si>
    <t>Maddela, Quirino</t>
  </si>
  <si>
    <t>Nagtipunan, Quirino</t>
  </si>
  <si>
    <t>Saguday, Quirino</t>
  </si>
  <si>
    <t>G-11-01848</t>
  </si>
  <si>
    <t>G-11-01849</t>
  </si>
  <si>
    <t xml:space="preserve">LGSF </t>
  </si>
  <si>
    <t>G-11-01850</t>
  </si>
  <si>
    <t>Share of LGUs from the Local Gov't Support Fund (see attached list of recipients)</t>
  </si>
  <si>
    <t>G-11-01851</t>
  </si>
  <si>
    <t>Prov of Albay</t>
  </si>
  <si>
    <t>Bacacay, Albay</t>
  </si>
  <si>
    <t>Malinao, Albay</t>
  </si>
  <si>
    <t>Tiwi, Albay</t>
  </si>
  <si>
    <t>Ligao City, Albay</t>
  </si>
  <si>
    <t>Basud, Cam Norte</t>
  </si>
  <si>
    <t>Daet, Cam Norte</t>
  </si>
  <si>
    <t>Jose Panganiban, Cam Norte</t>
  </si>
  <si>
    <t>Labo, Cam Norte</t>
  </si>
  <si>
    <t>San Lorenzo Ruiz, Cam Norte</t>
  </si>
  <si>
    <t>San Vicente, Cam Norte</t>
  </si>
  <si>
    <t>Talisay, Cam Norte</t>
  </si>
  <si>
    <t>Canaman, Cam Sur</t>
  </si>
  <si>
    <t>Gainza, Cam Sur</t>
  </si>
  <si>
    <t>San Fernando, Cam Sur</t>
  </si>
  <si>
    <t>Pandan, Catanduanes</t>
  </si>
  <si>
    <t>San Andres, Catanduanes</t>
  </si>
  <si>
    <t>San Miguel, Catanduanes</t>
  </si>
  <si>
    <t>Viga, Catanduanes</t>
  </si>
  <si>
    <t>Virac, Catanduanes</t>
  </si>
  <si>
    <t>Baleno, Masbate</t>
  </si>
  <si>
    <t>Esperanza, Masbate</t>
  </si>
  <si>
    <t>Mobo, Masbate</t>
  </si>
  <si>
    <t>Palanas, Masbate</t>
  </si>
  <si>
    <t>Castilla, Sorsogon</t>
  </si>
  <si>
    <t>G-11-01852</t>
  </si>
  <si>
    <t>G-11-01853</t>
  </si>
  <si>
    <t>G-11-01854</t>
  </si>
  <si>
    <t>G-11-01855</t>
  </si>
  <si>
    <t>G-11-01856</t>
  </si>
  <si>
    <t xml:space="preserve">Don Carlos, Buk </t>
  </si>
  <si>
    <t xml:space="preserve">Impasug-ong, Buk </t>
  </si>
  <si>
    <t xml:space="preserve">Manolo Fortich, Buk </t>
  </si>
  <si>
    <t xml:space="preserve">Quezon, Buk </t>
  </si>
  <si>
    <t xml:space="preserve">Kapatagan, LDN </t>
  </si>
  <si>
    <t xml:space="preserve">Kolambugan, LDN  </t>
  </si>
  <si>
    <t xml:space="preserve">Linamon, LDN </t>
  </si>
  <si>
    <t xml:space="preserve">Magsaysay, LDN </t>
  </si>
  <si>
    <t xml:space="preserve">Salvador, LDN </t>
  </si>
  <si>
    <t xml:space="preserve">Aloran, Mis Occ </t>
  </si>
  <si>
    <t xml:space="preserve">Bonifacio, Mis Occ </t>
  </si>
  <si>
    <t xml:space="preserve">Don V. Chiongbian </t>
  </si>
  <si>
    <t xml:space="preserve">Jimenez, Mis Occ </t>
  </si>
  <si>
    <t xml:space="preserve">Plaridel, Mis Occ </t>
  </si>
  <si>
    <t xml:space="preserve">Tudela, Mis Occ </t>
  </si>
  <si>
    <t xml:space="preserve">Tangub City </t>
  </si>
  <si>
    <t xml:space="preserve">Sumilao, Buk </t>
  </si>
  <si>
    <t xml:space="preserve">Kauswagan, LDN </t>
  </si>
  <si>
    <t xml:space="preserve">Munai, LDN </t>
  </si>
  <si>
    <t xml:space="preserve">Tubod, Mis Occ </t>
  </si>
  <si>
    <t>Lopez Jaena, Mis Occ</t>
  </si>
  <si>
    <t xml:space="preserve">Matungao, LDN </t>
  </si>
  <si>
    <t xml:space="preserve">Province of Mis Or </t>
  </si>
  <si>
    <t xml:space="preserve">Alubijid, Mis Or </t>
  </si>
  <si>
    <t xml:space="preserve">Balingasag, Mis Or </t>
  </si>
  <si>
    <t xml:space="preserve">Gitagum, Mis Or </t>
  </si>
  <si>
    <t xml:space="preserve">Laguindingan, Mis Or </t>
  </si>
  <si>
    <t xml:space="preserve">Libertad, Mis Or </t>
  </si>
  <si>
    <t xml:space="preserve">Opol, Mis Or </t>
  </si>
  <si>
    <t>Sugbongcogon, Mis Or</t>
  </si>
  <si>
    <t xml:space="preserve">Damulog, Buk </t>
  </si>
  <si>
    <t xml:space="preserve">Prov of Camiguin  </t>
  </si>
  <si>
    <t>Mahinog, Camiguin</t>
  </si>
  <si>
    <t>Mambajao, Camiguin</t>
  </si>
  <si>
    <t>G-11-01857</t>
  </si>
  <si>
    <t>LGSF - Implementation of priority programs and projects</t>
  </si>
  <si>
    <t>Province of Davao del Norte</t>
  </si>
  <si>
    <t>Asuncion, Davao del Norte</t>
  </si>
  <si>
    <t>Dujali, Davao del Norte</t>
  </si>
  <si>
    <t>Kapalong, Davao del Norte</t>
  </si>
  <si>
    <t>New Corella, Davao del Norte</t>
  </si>
  <si>
    <t>San Isidro, Davao del Norte</t>
  </si>
  <si>
    <t>Santo Tomas, Davao del Norte</t>
  </si>
  <si>
    <t>Talaingod, Davao del Norte</t>
  </si>
  <si>
    <t>IGACOS</t>
  </si>
  <si>
    <t>Panabo City</t>
  </si>
  <si>
    <t>Tagum City</t>
  </si>
  <si>
    <t>Province of Compostela Valley</t>
  </si>
  <si>
    <t>Maragusan (San Mariano), CV</t>
  </si>
  <si>
    <t>Pantukan, CV</t>
  </si>
  <si>
    <t>Province of Davao del Sur</t>
  </si>
  <si>
    <t>Digos City</t>
  </si>
  <si>
    <t>Province of Davao Oriental</t>
  </si>
  <si>
    <t>Banganga, DO</t>
  </si>
  <si>
    <t>Governor Generoso, DO</t>
  </si>
  <si>
    <t>G-11-01858</t>
  </si>
  <si>
    <t>G-11-01859</t>
  </si>
  <si>
    <t>G-11-02155</t>
  </si>
  <si>
    <t>Abra Province</t>
  </si>
  <si>
    <t>G-11-02156</t>
  </si>
  <si>
    <t xml:space="preserve">        Province of Nueva Vizcaya</t>
  </si>
  <si>
    <t xml:space="preserve">        Province of Isabela</t>
  </si>
  <si>
    <t>G-11-02157</t>
  </si>
  <si>
    <t>Rizal</t>
  </si>
  <si>
    <t>G-11-02158</t>
  </si>
  <si>
    <t xml:space="preserve"> Catanduanes</t>
  </si>
  <si>
    <t>G-11-02159</t>
  </si>
  <si>
    <t>G-11-02160</t>
  </si>
  <si>
    <t>Siaton, Negros Or</t>
  </si>
  <si>
    <t>G-11-02161</t>
  </si>
  <si>
    <t>G-11-02162</t>
  </si>
  <si>
    <t>G-11-02163</t>
  </si>
  <si>
    <t xml:space="preserve">Prov of Camiguin           </t>
  </si>
  <si>
    <t>Prov of Lanao del Norte</t>
  </si>
  <si>
    <t>Prov of Mis Occ</t>
  </si>
  <si>
    <t>Kiblawan, Davao DS</t>
  </si>
  <si>
    <t>G-11-02164</t>
  </si>
  <si>
    <t>FA-concreting of provincial road that connects Padada National Highway to Kiblawan, DS</t>
  </si>
  <si>
    <t>G-11-02165</t>
  </si>
  <si>
    <t>1. Cotabato Province</t>
  </si>
  <si>
    <t>2. Maguindanao Province</t>
  </si>
  <si>
    <t>3. Sarangani Province</t>
  </si>
  <si>
    <t>4. Lanao del Sur Province</t>
  </si>
  <si>
    <t>5. South Cotabato Province</t>
  </si>
  <si>
    <t>G-11-02166</t>
  </si>
  <si>
    <t>San Fernando City, La Union</t>
  </si>
  <si>
    <t>G-11-02191</t>
  </si>
  <si>
    <t>G-11-02192</t>
  </si>
  <si>
    <t>G-11-02193</t>
  </si>
  <si>
    <t>Kabayan, Benguet</t>
  </si>
  <si>
    <t>Kapangan, Benguet</t>
  </si>
  <si>
    <t>Bangued, Abra</t>
  </si>
  <si>
    <t>Bucloc, Abra</t>
  </si>
  <si>
    <t>La Paz, Abra</t>
  </si>
  <si>
    <t>Lacub, Abra</t>
  </si>
  <si>
    <t>Langiden, Abra</t>
  </si>
  <si>
    <t>Licuan-Baay, Abra</t>
  </si>
  <si>
    <t>Malibcong, Abra</t>
  </si>
  <si>
    <t>Manabo, Abra</t>
  </si>
  <si>
    <t>Penarrubia, Abra</t>
  </si>
  <si>
    <t>Pidigan, Abra</t>
  </si>
  <si>
    <t>San Quintin, Abra</t>
  </si>
  <si>
    <t>Pudtol, Apayao</t>
  </si>
  <si>
    <t>Atok, Benguet</t>
  </si>
  <si>
    <t>Mankyan, Benguet</t>
  </si>
  <si>
    <t>Aguinaldo, Ifugao</t>
  </si>
  <si>
    <t>Lista (Potia), Ifugao</t>
  </si>
  <si>
    <t>Balbalan, Kalinga</t>
  </si>
  <si>
    <t>Pasil, Kalinga</t>
  </si>
  <si>
    <t>Tinglayan, Kalinga</t>
  </si>
  <si>
    <t>Mt. Province</t>
  </si>
  <si>
    <t>Bauko, Mt. Province</t>
  </si>
  <si>
    <t>Natonin, Mt. Province</t>
  </si>
  <si>
    <t>Paracelis, Mt. Province</t>
  </si>
  <si>
    <t>Sadanga, Mt. Province</t>
  </si>
  <si>
    <t>Danglas, Abra</t>
  </si>
  <si>
    <t>Luba, Abra</t>
  </si>
  <si>
    <t>Sal-Lapadan, Abra</t>
  </si>
  <si>
    <t>Hungduan, Ifugao</t>
  </si>
  <si>
    <t>G-11-02194</t>
  </si>
  <si>
    <t xml:space="preserve">Sual, Pangasinan </t>
  </si>
  <si>
    <t>Bayambang, Pangasinan</t>
  </si>
  <si>
    <t>Binalonan, Pangasinan</t>
  </si>
  <si>
    <t>Manaoag, Pangasinan</t>
  </si>
  <si>
    <t xml:space="preserve">San Manuel, Pangasinan </t>
  </si>
  <si>
    <t xml:space="preserve">Santa Barbara, Pangasinan </t>
  </si>
  <si>
    <t xml:space="preserve">Nueva Era, Ilocos Norte </t>
  </si>
  <si>
    <t xml:space="preserve">Pasuquin, Ilocos Norte </t>
  </si>
  <si>
    <t xml:space="preserve">Piddig, Ilocos Norte </t>
  </si>
  <si>
    <t xml:space="preserve">Pinili, Ilocos Norte </t>
  </si>
  <si>
    <t>G-11-02195</t>
  </si>
  <si>
    <t>G-11-02196</t>
  </si>
  <si>
    <t>LGSF</t>
  </si>
  <si>
    <t>G-11-02197</t>
  </si>
  <si>
    <t>G-11-02198</t>
  </si>
  <si>
    <t>Camalig, Albay</t>
  </si>
  <si>
    <t>Jovellar, Albay</t>
  </si>
  <si>
    <t>Malilipot, Albay</t>
  </si>
  <si>
    <t>Manito, Albay</t>
  </si>
  <si>
    <t>Oas, Albay</t>
  </si>
  <si>
    <t>Rapu-Rapu, Albay</t>
  </si>
  <si>
    <t>Tabaco City, Albay</t>
  </si>
  <si>
    <t>Prov of Camarines Norte</t>
  </si>
  <si>
    <t>Capalonga, Cam Norte</t>
  </si>
  <si>
    <t>Mercedes, Cam Norte</t>
  </si>
  <si>
    <t>Paracale, Cam Norte</t>
  </si>
  <si>
    <t>Sta Elena, Cam Norte</t>
  </si>
  <si>
    <t>Baao, Cam Sur</t>
  </si>
  <si>
    <t>Bombon Cam Sur</t>
  </si>
  <si>
    <t>Calabanga, Cam Sur</t>
  </si>
  <si>
    <t>Del Gallego, Cam Sur</t>
  </si>
  <si>
    <t>Goa, Cam Sur</t>
  </si>
  <si>
    <t>Libmanan, Cam Sur</t>
  </si>
  <si>
    <t>Magarao, Cam Sur</t>
  </si>
  <si>
    <t>Milaor, Cam Sur</t>
  </si>
  <si>
    <t>Nabua, Cam Sur</t>
  </si>
  <si>
    <t>Pili, Cam Sur</t>
  </si>
  <si>
    <t>Ragay, Cam Sur</t>
  </si>
  <si>
    <t>San Jose, Cam Sur</t>
  </si>
  <si>
    <t>Iriga City, Cam Sur</t>
  </si>
  <si>
    <t>Province of Catanduanes</t>
  </si>
  <si>
    <t>Bagamanoc, catanduanes</t>
  </si>
  <si>
    <t>Baras, Catanduanes</t>
  </si>
  <si>
    <t>Bato, Catanduanes</t>
  </si>
  <si>
    <t>Caramoran, Catanduanes</t>
  </si>
  <si>
    <t>Gigmoto, Catanduanes</t>
  </si>
  <si>
    <t>Panganiban, Catanduanes</t>
  </si>
  <si>
    <t>Prov of Masbate</t>
  </si>
  <si>
    <t>Cataingan, Mas</t>
  </si>
  <si>
    <t>Cawayan, Mas</t>
  </si>
  <si>
    <t>Claveria, Mas</t>
  </si>
  <si>
    <t>Dimasalang, Mas</t>
  </si>
  <si>
    <t>Monreal, Mas</t>
  </si>
  <si>
    <t>Placer, Mas</t>
  </si>
  <si>
    <t>Masbate City, Mas</t>
  </si>
  <si>
    <t>Prov of Sorsogon</t>
  </si>
  <si>
    <t>Donsol, Sor</t>
  </si>
  <si>
    <t>Gubat, Sor</t>
  </si>
  <si>
    <t>Irosin, Sor</t>
  </si>
  <si>
    <t>Juban, Sor</t>
  </si>
  <si>
    <t>Matnog, Sor</t>
  </si>
  <si>
    <t>Prieto Diaz, Sor</t>
  </si>
  <si>
    <t>Sta Magdalena, Sor</t>
  </si>
  <si>
    <t>G-11-02199</t>
  </si>
  <si>
    <t>G-11-02200</t>
  </si>
  <si>
    <t>G-11-02201</t>
  </si>
  <si>
    <t>G-11-02202</t>
  </si>
  <si>
    <t>G-11-02203</t>
  </si>
  <si>
    <t>Prov of Buk</t>
  </si>
  <si>
    <t>Malaybalay City</t>
  </si>
  <si>
    <t xml:space="preserve">Valencia City </t>
  </si>
  <si>
    <t xml:space="preserve">Kadingilan, Buk </t>
  </si>
  <si>
    <t xml:space="preserve">Libona, Buk </t>
  </si>
  <si>
    <t xml:space="preserve">Malitbog, Buk </t>
  </si>
  <si>
    <t xml:space="preserve">Maramag, Buk </t>
  </si>
  <si>
    <t xml:space="preserve">Catarman, Buk </t>
  </si>
  <si>
    <t>Bacolod, LDN</t>
  </si>
  <si>
    <t>Baroy, LDN</t>
  </si>
  <si>
    <t>Lala, LDN</t>
  </si>
  <si>
    <t>Maigo, LDN</t>
  </si>
  <si>
    <t>Oroquieta City</t>
  </si>
  <si>
    <t xml:space="preserve">Panaon, Mis Occ </t>
  </si>
  <si>
    <t xml:space="preserve">Sinacaban, Mis Occ </t>
  </si>
  <si>
    <t xml:space="preserve">Binuangan, Mis Or </t>
  </si>
  <si>
    <t xml:space="preserve">Initao, Mis Or </t>
  </si>
  <si>
    <t xml:space="preserve">Jasaan, Mis Or </t>
  </si>
  <si>
    <t>Kinoguitan, Mis Or</t>
  </si>
  <si>
    <t>Lagonglong, Mis Or</t>
  </si>
  <si>
    <t xml:space="preserve">Lugait, Mis Or </t>
  </si>
  <si>
    <t xml:space="preserve">Manticao, Mis Or </t>
  </si>
  <si>
    <t xml:space="preserve">Medina, Mis Or </t>
  </si>
  <si>
    <t xml:space="preserve">Naawan, Mis Or </t>
  </si>
  <si>
    <t xml:space="preserve">Salay, Mis Or </t>
  </si>
  <si>
    <t xml:space="preserve">Tagoloan, Mis Or </t>
  </si>
  <si>
    <t xml:space="preserve">Talisayan, Mis Or </t>
  </si>
  <si>
    <t xml:space="preserve">Kalilangan, Buk </t>
  </si>
  <si>
    <t>Pangantucan, Buk</t>
  </si>
  <si>
    <t>San Fernando, Buk</t>
  </si>
  <si>
    <t xml:space="preserve">Talakag, Buk </t>
  </si>
  <si>
    <t xml:space="preserve">Prov of Lanao del Norte </t>
  </si>
  <si>
    <t xml:space="preserve">Calamba, Mis Occ </t>
  </si>
  <si>
    <t xml:space="preserve">Clarin, Mis Or.  </t>
  </si>
  <si>
    <t xml:space="preserve">Claveria, Mis Or.  </t>
  </si>
  <si>
    <t>Villanueva, Mis Or</t>
  </si>
  <si>
    <t>G-11-02204</t>
  </si>
  <si>
    <t>G-11-02205</t>
  </si>
  <si>
    <t>Butuan City</t>
  </si>
  <si>
    <t>G-11-02206</t>
  </si>
  <si>
    <t>G-11-02105</t>
  </si>
  <si>
    <t>Cagayan de Oro City  (LGSF)</t>
  </si>
  <si>
    <t>Iligan City (LSGF)</t>
  </si>
  <si>
    <t>2012 Releases</t>
  </si>
  <si>
    <t>QC</t>
  </si>
  <si>
    <t>G-12-00006</t>
  </si>
  <si>
    <t>Zaragosa, N Ecija</t>
  </si>
  <si>
    <t>G-12-00007</t>
  </si>
  <si>
    <t>Tarlac</t>
  </si>
  <si>
    <t>G-12-00021</t>
  </si>
  <si>
    <t xml:space="preserve"> Bukidnon</t>
  </si>
  <si>
    <t>G-12-00022</t>
  </si>
  <si>
    <t>G-12-00023</t>
  </si>
  <si>
    <t xml:space="preserve"> Aurora</t>
  </si>
  <si>
    <t>G-12-00024</t>
  </si>
  <si>
    <t xml:space="preserve"> San Fernando City, Pampanga</t>
  </si>
  <si>
    <t>G-12-00029</t>
  </si>
  <si>
    <t xml:space="preserve"> Batangas IV</t>
  </si>
  <si>
    <t>G-12-00030</t>
  </si>
  <si>
    <t xml:space="preserve"> Quezon</t>
  </si>
  <si>
    <t>G-12-00036</t>
  </si>
  <si>
    <t>G-12-00037</t>
  </si>
  <si>
    <t>G-12-00038</t>
  </si>
  <si>
    <t>G-12-00068</t>
  </si>
  <si>
    <t>Saytan, Pugo, La Union</t>
  </si>
  <si>
    <t>G-12-00075</t>
  </si>
  <si>
    <t>G-12-00081</t>
  </si>
  <si>
    <t>Abra</t>
  </si>
  <si>
    <t>G-12-00082</t>
  </si>
  <si>
    <t xml:space="preserve"> Rizal, Laguna</t>
  </si>
  <si>
    <t>G-12-00083</t>
  </si>
  <si>
    <t xml:space="preserve"> Sara, Iloilo</t>
  </si>
  <si>
    <t>G-12-00084</t>
  </si>
  <si>
    <t>Sto Niño Vil, Baybay City, Leyte</t>
  </si>
  <si>
    <t>G-12-00110</t>
  </si>
  <si>
    <t xml:space="preserve"> Iloilo I</t>
  </si>
  <si>
    <t>G-12-00112</t>
  </si>
  <si>
    <t>Negros Occ</t>
  </si>
  <si>
    <t>G-12-00158</t>
  </si>
  <si>
    <t>G-12-00146</t>
  </si>
  <si>
    <t>G-12-00149</t>
  </si>
  <si>
    <t>G-12-00145</t>
  </si>
  <si>
    <t>Nazareth, CDO City, Misamis Or</t>
  </si>
  <si>
    <t>G-12-00288</t>
  </si>
  <si>
    <t xml:space="preserve"> Isabela IV</t>
  </si>
  <si>
    <t>G-12-00289</t>
  </si>
  <si>
    <t>Health Assistance to Indigents</t>
  </si>
  <si>
    <t>Social Services - CIDSS</t>
  </si>
  <si>
    <t>Livelihood - Food Production</t>
  </si>
  <si>
    <t xml:space="preserve"> Nazareth, CDO City, Misamis Or</t>
  </si>
  <si>
    <t>G-12-00295</t>
  </si>
  <si>
    <t>G-12-00305</t>
  </si>
  <si>
    <t>G-12-00269</t>
  </si>
  <si>
    <t>Cavite III</t>
  </si>
  <si>
    <t>G-12-00270</t>
  </si>
  <si>
    <t>Bohol I</t>
  </si>
  <si>
    <t>G-12-00290</t>
  </si>
  <si>
    <t>Quezon II</t>
  </si>
  <si>
    <t>G-12-00296</t>
  </si>
  <si>
    <t>Barotac Viejo, Iloilo</t>
  </si>
  <si>
    <t>G-12-00306</t>
  </si>
  <si>
    <t>Umingan, Pangasinan</t>
  </si>
  <si>
    <t>G-12-00307</t>
  </si>
  <si>
    <t>San Luis, Aurora</t>
  </si>
  <si>
    <t>G-12-00308</t>
  </si>
  <si>
    <t>Alfonso Lista, Ifugao</t>
  </si>
  <si>
    <t>G-12-00309</t>
  </si>
  <si>
    <t>LD of Batanes</t>
  </si>
  <si>
    <t>G-12-00322</t>
  </si>
  <si>
    <t>Brgy. San Joaquin, Basco, Batanes</t>
  </si>
  <si>
    <t>Brgy. Imnajbu, Uyugan, Batanes</t>
  </si>
  <si>
    <t>Davao City III</t>
  </si>
  <si>
    <t>G-12-00326</t>
  </si>
  <si>
    <t>FA- Purchase of medicines</t>
  </si>
  <si>
    <t>Withdrawal, G-11-01991</t>
  </si>
  <si>
    <t>G-12-00327</t>
  </si>
  <si>
    <t>Minalin, Pampanga</t>
  </si>
  <si>
    <t>G-12-00328</t>
  </si>
  <si>
    <t>G-12-00346</t>
  </si>
  <si>
    <t xml:space="preserve"> Mandaluyong City</t>
  </si>
  <si>
    <t>G-12-00347</t>
  </si>
  <si>
    <t xml:space="preserve"> QC III</t>
  </si>
  <si>
    <t>G-12-00329</t>
  </si>
  <si>
    <t xml:space="preserve"> Cavite I</t>
  </si>
  <si>
    <t>G-12-00333</t>
  </si>
  <si>
    <t>G-12-00336</t>
  </si>
  <si>
    <t>G-12-00341</t>
  </si>
  <si>
    <t xml:space="preserve">San Carlos City, Pangasinan </t>
  </si>
  <si>
    <t xml:space="preserve">Bayambang, Pangasinan </t>
  </si>
  <si>
    <t xml:space="preserve">San Fabian, Pangasinan </t>
  </si>
  <si>
    <t>G-12-00342</t>
  </si>
  <si>
    <t>G-12-00343</t>
  </si>
  <si>
    <t>Cam Sur</t>
  </si>
  <si>
    <t>G-12-00344</t>
  </si>
  <si>
    <t>G-12-00360</t>
  </si>
  <si>
    <t>Reserva, Baler, Aurora</t>
  </si>
  <si>
    <t>G-12-00370</t>
  </si>
  <si>
    <t>G-12-00374</t>
  </si>
  <si>
    <t>Sta Maria, Ilocos S</t>
  </si>
  <si>
    <t>G-12-00383</t>
  </si>
  <si>
    <t>Plaridel, Bulacan</t>
  </si>
  <si>
    <t>G-12-00384</t>
  </si>
  <si>
    <t>G-12-00385</t>
  </si>
  <si>
    <t>G-12-00379</t>
  </si>
  <si>
    <t xml:space="preserve">Umingan, Pangasinan </t>
  </si>
  <si>
    <t xml:space="preserve">Calasiao, Pangasinan </t>
  </si>
  <si>
    <t>San Antonio, N Ecija</t>
  </si>
  <si>
    <t>G-12-00380</t>
  </si>
  <si>
    <t>G-12-00381</t>
  </si>
  <si>
    <t>Javier, Leyte</t>
  </si>
  <si>
    <t>G-12-00382</t>
  </si>
  <si>
    <t>G-12-00394</t>
  </si>
  <si>
    <t xml:space="preserve">Balungao, Pangasinan </t>
  </si>
  <si>
    <t>G-12-00395</t>
  </si>
  <si>
    <t>G-12-00412</t>
  </si>
  <si>
    <t>G-12-00421</t>
  </si>
  <si>
    <t>Marikina City II</t>
  </si>
  <si>
    <t>G-12-00423</t>
  </si>
  <si>
    <t>Withdrawal, G-12-00270</t>
  </si>
  <si>
    <t>G-12-00452</t>
  </si>
  <si>
    <t>Carmona, Cavite</t>
  </si>
  <si>
    <t>G-12-00453</t>
  </si>
  <si>
    <t>G-12-00463</t>
  </si>
  <si>
    <t>G-12-00469</t>
  </si>
  <si>
    <t>Gen Nakar, Quezon</t>
  </si>
  <si>
    <t>G-12-00470</t>
  </si>
  <si>
    <t>G-12-00471</t>
  </si>
  <si>
    <t>Medina, Misamis Or</t>
  </si>
  <si>
    <t>G-12-00472</t>
  </si>
  <si>
    <t>G-12-00473</t>
  </si>
  <si>
    <t>Tanay, Rizal</t>
  </si>
  <si>
    <t>G-12-00486</t>
  </si>
  <si>
    <t>Various LGUs (Batanes)</t>
  </si>
  <si>
    <t>G-12-00766</t>
  </si>
  <si>
    <t xml:space="preserve"> Greening and Beautification Program in the Province</t>
  </si>
  <si>
    <t>Brgy. San Antonio, Basco, Batanes</t>
  </si>
  <si>
    <t>Brgy.San Joaquin, Basco, Batanes</t>
  </si>
  <si>
    <t>Brgy. Chavayan, Sabtang, Batanes</t>
  </si>
  <si>
    <t>Brgy. Sta.Maria, Itbayat, Batanes</t>
  </si>
  <si>
    <t>RO 13</t>
  </si>
  <si>
    <t>G-12-00911</t>
  </si>
  <si>
    <t>Withdrawal, G-11-02001 dated December 13, 2011</t>
  </si>
  <si>
    <t>G-12-00938</t>
  </si>
  <si>
    <t>FA to LGUs (DAP 1)</t>
  </si>
  <si>
    <t>G-12-00939</t>
  </si>
  <si>
    <t>G-12-00952</t>
  </si>
  <si>
    <t>Realignment , SARO No. G-12-00527 dated July 20, 2012</t>
  </si>
  <si>
    <t>G-12-01099</t>
  </si>
  <si>
    <t xml:space="preserve"> Mahatao, Batanes</t>
  </si>
  <si>
    <t>G-12-01118</t>
  </si>
  <si>
    <t>Pavia, Iloilo</t>
  </si>
  <si>
    <t>G-12-01116</t>
  </si>
  <si>
    <t>Withdrawal, G-12-00472 dated June 25, 2012</t>
  </si>
  <si>
    <t>G-12-01289</t>
  </si>
  <si>
    <t>San Antonio, Nueva Ecija</t>
  </si>
  <si>
    <t>G-12-01290</t>
  </si>
  <si>
    <t>G-12-01389</t>
  </si>
  <si>
    <t>For the Greening and Beautification Program - Employment Program for Senior Citizens in the Province of Batanes</t>
  </si>
  <si>
    <t>For Livelihood/Employment Program (Batanes Natural and Cultural Heritage Preservation and Development Project) in the Province of Batanes.</t>
  </si>
  <si>
    <t>G-12-01390</t>
  </si>
  <si>
    <t>For the Greening and Beautification Program in the Province such as but not limited to planting of trees and/or plants, thoroughfares; and pruning and watering.</t>
  </si>
  <si>
    <t>Brgy. San Vicente, Ivana, Batanes</t>
  </si>
  <si>
    <t>Quezon City, Metro Manila</t>
  </si>
  <si>
    <t>G-12-01313</t>
  </si>
  <si>
    <t>Orion, Bataan</t>
  </si>
  <si>
    <t>G-12-00398</t>
  </si>
  <si>
    <t>Baler, Aurora</t>
  </si>
  <si>
    <t>G-12-00884</t>
  </si>
  <si>
    <t>R.A. 10147</t>
  </si>
  <si>
    <t>Financial assistance for indigent patients from QC IV</t>
  </si>
  <si>
    <t>G-12-00045</t>
  </si>
  <si>
    <t>Financial assistance for indigent patients</t>
  </si>
  <si>
    <t>G-12-00340</t>
  </si>
  <si>
    <t xml:space="preserve">     NKTI</t>
  </si>
  <si>
    <t>RA 10147 p. 961</t>
  </si>
  <si>
    <t>G-11-02077</t>
  </si>
  <si>
    <t>2 indigents</t>
  </si>
  <si>
    <t>F-11-01875</t>
  </si>
  <si>
    <t>G-11-02338</t>
  </si>
  <si>
    <t>49 indigents</t>
  </si>
  <si>
    <t>G-11-02352</t>
  </si>
  <si>
    <t>412 indigents</t>
  </si>
  <si>
    <t>G-11-02188</t>
  </si>
  <si>
    <t>47 indigents</t>
  </si>
  <si>
    <t>F-11-01876</t>
  </si>
  <si>
    <t>G-11-01600</t>
  </si>
  <si>
    <t>134 indigents</t>
  </si>
  <si>
    <t>G-11-01616</t>
  </si>
  <si>
    <t>57 indigents</t>
  </si>
  <si>
    <t>G-11-01626</t>
  </si>
  <si>
    <t>82 indigents</t>
  </si>
  <si>
    <t>G-11-01634</t>
  </si>
  <si>
    <t>115 indigents</t>
  </si>
  <si>
    <t>G-11-01694</t>
  </si>
  <si>
    <t>48 indigents</t>
  </si>
  <si>
    <t>G-11-01734</t>
  </si>
  <si>
    <t xml:space="preserve"> Financial assistance for indigent patients from QC IV</t>
  </si>
  <si>
    <t>G-12-00046</t>
  </si>
  <si>
    <t>665 indigents</t>
  </si>
  <si>
    <t xml:space="preserve">Financial assistance for indigent patients of Bohol I </t>
  </si>
  <si>
    <t>G-12-00292</t>
  </si>
  <si>
    <t>26 indigents</t>
  </si>
  <si>
    <t>Financial assistance for indigent patients of Quezon II</t>
  </si>
  <si>
    <t>G-12-00300</t>
  </si>
  <si>
    <t>62 indigents</t>
  </si>
  <si>
    <t xml:space="preserve">Financial assistancefor indigent patients of QC III </t>
  </si>
  <si>
    <t>G-12-00331</t>
  </si>
  <si>
    <t>92 indigents</t>
  </si>
  <si>
    <t>G-12-00339</t>
  </si>
  <si>
    <t>121 indigents</t>
  </si>
  <si>
    <t>G-12-00912</t>
  </si>
  <si>
    <t xml:space="preserve">     PCMC</t>
  </si>
  <si>
    <t>RA 10147 p. 962</t>
  </si>
  <si>
    <t>F-11-01877</t>
  </si>
  <si>
    <t>F-11-01878</t>
  </si>
  <si>
    <t>G-11-01601</t>
  </si>
  <si>
    <t>G-11-01618</t>
  </si>
  <si>
    <t>G-11-01695</t>
  </si>
  <si>
    <t>G-11-02350</t>
  </si>
  <si>
    <t>G-12-00044</t>
  </si>
  <si>
    <t xml:space="preserve">Financial assistance for indigent patients of Quezon II </t>
  </si>
  <si>
    <t>G-12-00299</t>
  </si>
  <si>
    <t>G-12-00043</t>
  </si>
  <si>
    <t>85 Guarantee letters</t>
  </si>
  <si>
    <t>G-12-00291</t>
  </si>
  <si>
    <t>18 Guarantee letters</t>
  </si>
  <si>
    <t>G-12-00298</t>
  </si>
  <si>
    <t>32 Guarantee letters</t>
  </si>
  <si>
    <t xml:space="preserve">Financial assistance for indigent patients </t>
  </si>
  <si>
    <t>G-11-02339</t>
  </si>
  <si>
    <t>G-11-02351</t>
  </si>
  <si>
    <t>457 GL</t>
  </si>
  <si>
    <t>G-11-02187</t>
  </si>
  <si>
    <t>46 GL</t>
  </si>
  <si>
    <t>G-11-01598</t>
  </si>
  <si>
    <t>200 GL</t>
  </si>
  <si>
    <t>G-11-01617</t>
  </si>
  <si>
    <t>32 GL</t>
  </si>
  <si>
    <t>G-11-01627</t>
  </si>
  <si>
    <t>G-11-01693</t>
  </si>
  <si>
    <t>190 GL</t>
  </si>
  <si>
    <t>G-11-01735</t>
  </si>
  <si>
    <t>52 GL</t>
  </si>
  <si>
    <t>G-11-01812</t>
  </si>
  <si>
    <t>329 GL</t>
  </si>
  <si>
    <t>F-11-01879</t>
  </si>
  <si>
    <t xml:space="preserve">      NEA</t>
  </si>
  <si>
    <t>For the sitio electrification and brgy. Line enhancement project</t>
  </si>
  <si>
    <t xml:space="preserve">     NRDC-PFC</t>
  </si>
  <si>
    <t>G-11-02332</t>
  </si>
  <si>
    <t xml:space="preserve"> NG subsidy to for the upland agro-forestry devlopment
     program</t>
  </si>
  <si>
    <t>F-11-02110</t>
  </si>
  <si>
    <t>No submission of status of Accomplishment/utilization of funds</t>
  </si>
  <si>
    <t xml:space="preserve">     PHIC</t>
  </si>
  <si>
    <t xml:space="preserve">Financial assistance for the implementation of the NHIP in Tarlac I to serve as NG counterpart </t>
  </si>
  <si>
    <t>G-12-00273</t>
  </si>
  <si>
    <t xml:space="preserve">Financial assistance to cover local counterpart for indigent constituents of Marikina City II for the implementation of NHIP </t>
  </si>
  <si>
    <t>No PAP Code indicated in the SARO but the PAP code should have been  
A.I - Rest of Budgetary Support to GOCCs subject to Section 35, Book 6 of EO No. 292 and letter of implementation No. 29</t>
  </si>
  <si>
    <t>G-12-00303</t>
  </si>
  <si>
    <t>G-11-02075</t>
  </si>
  <si>
    <t xml:space="preserve">     PFDA</t>
  </si>
  <si>
    <t xml:space="preserve">     TRC</t>
  </si>
  <si>
    <t>Livelihood training and development program</t>
  </si>
  <si>
    <t>NLDC</t>
  </si>
  <si>
    <t>Financial assistance for livelihood projects in support to displaced families / families of marginal farmers and other constituents (previously released under E-11-01881 dated Dec. 6, 2011 and subsequently withdrawn under E-12-00217 dated March 15, 2012)</t>
  </si>
  <si>
    <t>F-12-00220</t>
  </si>
  <si>
    <t>No submission</t>
  </si>
  <si>
    <t>Financial assistance for livelihood projects in support to displaced families / families of marginal farmers and other constituents (previously released under E-11-01882 dated Dec. 6, 2011 and subsequently withdrawn under E-12-00218 dated March 15, 2012)</t>
  </si>
  <si>
    <t>F-12-00221</t>
  </si>
  <si>
    <t>Financial assistance for livelihood projects in support to displaced families / families of marginal farmers and other constituents (previously released under E-11-01883 dated Dec. 6, 2011 and subsequently withdrawn under E-12-00219 dated March 15, 2012)</t>
  </si>
  <si>
    <t>F-12-00222</t>
  </si>
  <si>
    <t>Financial assistance for livelihood projects in support to displaced families / marginal farm family beneficiaries and other constituents</t>
  </si>
  <si>
    <t>F-12-00224</t>
  </si>
  <si>
    <t>GRAND TOTAL - DAP 1</t>
  </si>
  <si>
    <t>DAP 4 per OP Approval Dated September 05, 2012</t>
  </si>
  <si>
    <t>DOLE-OSEC</t>
  </si>
  <si>
    <t>Acquisiton of communication devices to support the IT infrastructure of labor inspection system</t>
  </si>
  <si>
    <t>B-13-00536</t>
  </si>
  <si>
    <t>DAP 4</t>
  </si>
  <si>
    <t>RA 10155, p. 638</t>
  </si>
  <si>
    <t>200 units of Job-Search Kiosk</t>
  </si>
  <si>
    <t>B-13-01104</t>
  </si>
  <si>
    <t>RA 10155, p. 639</t>
  </si>
  <si>
    <t>DOT-OSEC</t>
  </si>
  <si>
    <t>A-12-00928</t>
  </si>
  <si>
    <t xml:space="preserve"> </t>
  </si>
  <si>
    <t>DILG-NAPOLCOM</t>
  </si>
  <si>
    <t>D-12-00887</t>
  </si>
  <si>
    <t>RA 10155, p. 586</t>
  </si>
  <si>
    <t>D-12-00888</t>
  </si>
  <si>
    <t>RA 10155, p. 595</t>
  </si>
  <si>
    <t>DILG-BJMP</t>
  </si>
  <si>
    <t>D-12-00889</t>
  </si>
  <si>
    <t>RA 10155, p. 581</t>
  </si>
  <si>
    <t>D-12-00890</t>
  </si>
  <si>
    <t>A-12-00927</t>
  </si>
  <si>
    <t>RA 10155 p. 1017</t>
  </si>
  <si>
    <t>B-12-00753</t>
  </si>
  <si>
    <t>PCOO-PROPER</t>
  </si>
  <si>
    <t>C-12-00935</t>
  </si>
  <si>
    <t>RA 10155 p. 1113</t>
  </si>
  <si>
    <t>F-12-00756</t>
  </si>
  <si>
    <t>RA 10155 p. 1293</t>
  </si>
  <si>
    <t>A-12-00743</t>
  </si>
  <si>
    <t>RA 10155 p. 1069</t>
  </si>
  <si>
    <t>DAP 3 - per OP approval - June 27, 2012</t>
  </si>
  <si>
    <t>Obligation</t>
  </si>
  <si>
    <t>A-12-00481</t>
  </si>
  <si>
    <t>Overall 
Savings</t>
  </si>
  <si>
    <t>RA 10147, p. 731</t>
  </si>
  <si>
    <t>A-12-00695</t>
  </si>
  <si>
    <t>DOTC-PCG</t>
  </si>
  <si>
    <t>A-13-00584</t>
  </si>
  <si>
    <t>RA 10155, p. 1069</t>
  </si>
  <si>
    <t>Implementation of the Agrarian Production Credit Program</t>
  </si>
  <si>
    <t>E-12-01025</t>
  </si>
  <si>
    <t>A-12-00749</t>
  </si>
  <si>
    <t>RA 10155, p.871</t>
  </si>
  <si>
    <t>A-12-00767</t>
  </si>
  <si>
    <t>OSEC-Convergence Program on Enhancing Tourism Access</t>
  </si>
  <si>
    <t>A-12-01410</t>
  </si>
  <si>
    <t>Only P149M pf the total amount transferred to DPWH was liquidated as of Oct. 17, 2013</t>
  </si>
  <si>
    <t>RA 10147 p. 798</t>
  </si>
  <si>
    <t>DBM-OSEC</t>
  </si>
  <si>
    <t>B-12-00799</t>
  </si>
  <si>
    <t>RA 10155 p. 97</t>
  </si>
  <si>
    <t>Financial assistance for high value crops program</t>
  </si>
  <si>
    <t>G-12-00596</t>
  </si>
  <si>
    <t>Financial assistance for livelihood project - Organic Farming</t>
  </si>
  <si>
    <t>G-12-00660</t>
  </si>
  <si>
    <t>Financial assistance for livelihood assistance and dev't of Crop Sector</t>
  </si>
  <si>
    <t>G-12-00785</t>
  </si>
  <si>
    <t>Financial Assistance for livelihood programs</t>
  </si>
  <si>
    <t>G-13-00136</t>
  </si>
  <si>
    <t>Financial Assistance for high value crop-coconut intercrop</t>
  </si>
  <si>
    <t>G-13-00701</t>
  </si>
  <si>
    <t>Financial Assistance for livelihood program (organic farming)</t>
  </si>
  <si>
    <t>G-13-01081</t>
  </si>
  <si>
    <t>Financial assistance for purchase of farm inputs for the dev't of crops</t>
  </si>
  <si>
    <t>G-12-01065</t>
  </si>
  <si>
    <t>G-12-00531</t>
  </si>
  <si>
    <t>RA 10147, p. 35</t>
  </si>
  <si>
    <t>Financial assistance for SB Revitalized Alternative Learning  System</t>
  </si>
  <si>
    <t>G-12-00605</t>
  </si>
  <si>
    <t>Division of Nueva Ecija</t>
  </si>
  <si>
    <t>G-12-00924</t>
  </si>
  <si>
    <t>12 units</t>
  </si>
  <si>
    <t>RA 10155 p. 152</t>
  </si>
  <si>
    <t xml:space="preserve"> Educational Assistance </t>
  </si>
  <si>
    <t>G-13-00130</t>
  </si>
  <si>
    <t>5,758 students</t>
  </si>
  <si>
    <t>RA 10155 p. 163</t>
  </si>
  <si>
    <t xml:space="preserve"> Purchase of IT equipment</t>
  </si>
  <si>
    <t>G-13-00173</t>
  </si>
  <si>
    <t>21 units</t>
  </si>
  <si>
    <t>RA 10155 p. 154</t>
  </si>
  <si>
    <t>SUCS</t>
  </si>
  <si>
    <t xml:space="preserve">A.III.b </t>
  </si>
  <si>
    <t>G-12-00614</t>
  </si>
  <si>
    <t>RA 10155, p. 314</t>
  </si>
  <si>
    <t>G-12-01391</t>
  </si>
  <si>
    <t>G-13-00293</t>
  </si>
  <si>
    <t>Technological University of the Philippines</t>
  </si>
  <si>
    <t>G-12-01387</t>
  </si>
  <si>
    <t>Majority of the scholars claimed after completion with the requirements and few of them were on hold due to non-compliance with the required documents</t>
  </si>
  <si>
    <t>RA 10155, p. 316</t>
  </si>
  <si>
    <t>A.III.b.1</t>
  </si>
  <si>
    <t>G-12-00607</t>
  </si>
  <si>
    <t>G-12-00624</t>
  </si>
  <si>
    <t>G-12-00638</t>
  </si>
  <si>
    <t>G-12-00668</t>
  </si>
  <si>
    <t>G-12-00681</t>
  </si>
  <si>
    <t>G-12-00709</t>
  </si>
  <si>
    <t>G-12-00796</t>
  </si>
  <si>
    <t>G-12-00918</t>
  </si>
  <si>
    <t>G-12-00963</t>
  </si>
  <si>
    <t>G-12-00969</t>
  </si>
  <si>
    <t>G-12-01019</t>
  </si>
  <si>
    <t>G-12-01041</t>
  </si>
  <si>
    <t>G-12-01202</t>
  </si>
  <si>
    <t>G-12-01212</t>
  </si>
  <si>
    <t>G-12-01227</t>
  </si>
  <si>
    <t>G-12-01140</t>
  </si>
  <si>
    <t>G-12-01181</t>
  </si>
  <si>
    <t>G-13-00055</t>
  </si>
  <si>
    <t>G-13-00127</t>
  </si>
  <si>
    <t>G-13-00132</t>
  </si>
  <si>
    <t>G-13-00139</t>
  </si>
  <si>
    <t>Scholarship program</t>
  </si>
  <si>
    <t>G-13-00292</t>
  </si>
  <si>
    <t>G-13-00657</t>
  </si>
  <si>
    <t>Kalinga-Apayao State College</t>
  </si>
  <si>
    <t>G-13-00708</t>
  </si>
  <si>
    <t>RA 10155, p. 329</t>
  </si>
  <si>
    <t>REGION I</t>
  </si>
  <si>
    <t>Don Mariano Marcos State University</t>
  </si>
  <si>
    <t>G-12-01168</t>
  </si>
  <si>
    <t xml:space="preserve">RA 10155 </t>
  </si>
  <si>
    <t>100 students</t>
  </si>
  <si>
    <t>RA 10155, p. 318</t>
  </si>
  <si>
    <t>G-13-00862</t>
  </si>
  <si>
    <t>240 students</t>
  </si>
  <si>
    <t>Ilocos Sur Polytechnic State College</t>
  </si>
  <si>
    <t>G-12-00770</t>
  </si>
  <si>
    <t>99 students</t>
  </si>
  <si>
    <t>RA 10155, p. 319</t>
  </si>
  <si>
    <t>G-12-01167</t>
  </si>
  <si>
    <t>600 students</t>
  </si>
  <si>
    <t>G-13-00860</t>
  </si>
  <si>
    <t>300 students</t>
  </si>
  <si>
    <t>G-12-01152</t>
  </si>
  <si>
    <t>1,000 students</t>
  </si>
  <si>
    <t>RA 10155, p. 322</t>
  </si>
  <si>
    <t>G-13-00408</t>
  </si>
  <si>
    <t>University of Northern Philippines</t>
  </si>
  <si>
    <t>G-12-01166</t>
  </si>
  <si>
    <t>RA 10155, p. 323</t>
  </si>
  <si>
    <t>G-13-00861</t>
  </si>
  <si>
    <t>400 students</t>
  </si>
  <si>
    <t>REGION II</t>
  </si>
  <si>
    <t>Batanes State College</t>
  </si>
  <si>
    <t>G-12-01396</t>
  </si>
  <si>
    <t>RA 10155, p. 330</t>
  </si>
  <si>
    <t>Isabela State University</t>
  </si>
  <si>
    <t>G-13-00723</t>
  </si>
  <si>
    <t>RA 10155, p. 332</t>
  </si>
  <si>
    <t>Nueva Vizcaya State University</t>
  </si>
  <si>
    <t>G-13-00688</t>
  </si>
  <si>
    <t>RA 10155, p. 334</t>
  </si>
  <si>
    <t>REGION III</t>
  </si>
  <si>
    <t>Don Honorio Ventura Technological State University</t>
  </si>
  <si>
    <t>G-12-01329</t>
  </si>
  <si>
    <t>RA 10155, p. 341</t>
  </si>
  <si>
    <t>G-13-00066</t>
  </si>
  <si>
    <t>G-13-00215</t>
  </si>
  <si>
    <t>G-13-00725</t>
  </si>
  <si>
    <t>G-12-01328</t>
  </si>
  <si>
    <t>RA 10155, p. 343</t>
  </si>
  <si>
    <t>G-13-00724</t>
  </si>
  <si>
    <t>G-13-00740</t>
  </si>
  <si>
    <t>Ramon Magsaysay Technological University</t>
  </si>
  <si>
    <t>G-13-00154</t>
  </si>
  <si>
    <t>RA 10155, p. 345</t>
  </si>
  <si>
    <t>REGION IV-A</t>
  </si>
  <si>
    <t>G-12-00656</t>
  </si>
  <si>
    <t>RA 10155, p. 351</t>
  </si>
  <si>
    <t>G-12-00682</t>
  </si>
  <si>
    <t>G-12-01164</t>
  </si>
  <si>
    <t>G-13-00166</t>
  </si>
  <si>
    <t>G-13-00756</t>
  </si>
  <si>
    <t>Southern Luzon State University</t>
  </si>
  <si>
    <t>G-13-00167</t>
  </si>
  <si>
    <t>RA 10155, p. 352</t>
  </si>
  <si>
    <t>REGION IV-B</t>
  </si>
  <si>
    <t>Occidental Mindoro State College</t>
  </si>
  <si>
    <t>G-13-00059</t>
  </si>
  <si>
    <t>1,631 students</t>
  </si>
  <si>
    <t>RA 10155, p. 357</t>
  </si>
  <si>
    <t>G-13-00121</t>
  </si>
  <si>
    <t>140 scholars</t>
  </si>
  <si>
    <t>RA 10155, p. 358</t>
  </si>
  <si>
    <t>Romblon State University</t>
  </si>
  <si>
    <t>G-12-01162</t>
  </si>
  <si>
    <t>623 students given assistance</t>
  </si>
  <si>
    <t>RA 10155, p. 359</t>
  </si>
  <si>
    <t>REGION V</t>
  </si>
  <si>
    <t>Camarines Sur Polytechnic College</t>
  </si>
  <si>
    <t>G-13-00407</t>
  </si>
  <si>
    <t>50 students</t>
  </si>
  <si>
    <t>RA 10155, p. 365</t>
  </si>
  <si>
    <t>Camarines Norte State College</t>
  </si>
  <si>
    <t>G-13-00146</t>
  </si>
  <si>
    <t>RA 10155, p. 364</t>
  </si>
  <si>
    <t>Central Bicol State University of Agriculture</t>
  </si>
  <si>
    <t>G-12-01330</t>
  </si>
  <si>
    <t>30 students</t>
  </si>
  <si>
    <t>RA 10155, p. 367</t>
  </si>
  <si>
    <t>Don Emilio Espinosa Memorial State College of Agriculture and Technology</t>
  </si>
  <si>
    <t>G-13-00294</t>
  </si>
  <si>
    <t>RA 10155, p. 368</t>
  </si>
  <si>
    <t>G-12-01085</t>
  </si>
  <si>
    <t>RA 10155, p. 369</t>
  </si>
  <si>
    <t>G-12-01327</t>
  </si>
  <si>
    <t>G-13-00588</t>
  </si>
  <si>
    <t>REGION VI</t>
  </si>
  <si>
    <t>Northern Iloilo Polytechnic State College</t>
  </si>
  <si>
    <t>G-12-01374</t>
  </si>
  <si>
    <t>RA 10155, p. 378</t>
  </si>
  <si>
    <t>G-13-00153</t>
  </si>
  <si>
    <t>Financial Assistance for indigent patients</t>
  </si>
  <si>
    <t>G-12-01148</t>
  </si>
  <si>
    <t>G-12-01382</t>
  </si>
  <si>
    <t>G-13-00151</t>
  </si>
  <si>
    <t>G-13-00546</t>
  </si>
  <si>
    <t>G-13-00744</t>
  </si>
  <si>
    <t>REGION VII</t>
  </si>
  <si>
    <t>G-12-01439</t>
  </si>
  <si>
    <t>RA 10155, p. 385</t>
  </si>
  <si>
    <t>G-12-01084</t>
  </si>
  <si>
    <t>RA 10155 p. 386</t>
  </si>
  <si>
    <t>G-12-01440</t>
  </si>
  <si>
    <t>REGION VIII</t>
  </si>
  <si>
    <t>Eastern Visayas State University</t>
  </si>
  <si>
    <t>G-12-01333</t>
  </si>
  <si>
    <t>RA 10155, p. 391</t>
  </si>
  <si>
    <t>Visayas State University</t>
  </si>
  <si>
    <t>G-12-01332</t>
  </si>
  <si>
    <t>RA 10155 p. 402</t>
  </si>
  <si>
    <t>Naval State University</t>
  </si>
  <si>
    <t>G-12-01334</t>
  </si>
  <si>
    <t>RA 10155, p. 393</t>
  </si>
  <si>
    <t>Samar State University</t>
  </si>
  <si>
    <t>G-12-01088</t>
  </si>
  <si>
    <t>RA 10155, p. 397</t>
  </si>
  <si>
    <t>Southern Leyte State University</t>
  </si>
  <si>
    <t>G-12-01331</t>
  </si>
  <si>
    <t>RA 10155, p. 399</t>
  </si>
  <si>
    <t>Northwest Samar State University</t>
  </si>
  <si>
    <t>G-12-01087</t>
  </si>
  <si>
    <t>500 scholars</t>
  </si>
  <si>
    <t>RA 10155, p. 395</t>
  </si>
  <si>
    <t>G-13-01093</t>
  </si>
  <si>
    <t>ongoing</t>
  </si>
  <si>
    <t>RA 10155, p. 400</t>
  </si>
  <si>
    <t>REGION IX</t>
  </si>
  <si>
    <t>Jose Rizal Memorial State College</t>
  </si>
  <si>
    <t>G-13-00703</t>
  </si>
  <si>
    <t>Western Mindanao State University</t>
  </si>
  <si>
    <t>G-12-00595</t>
  </si>
  <si>
    <t>RA 10155 p. 406</t>
  </si>
  <si>
    <t>G-13-00859</t>
  </si>
  <si>
    <t>REGION X</t>
  </si>
  <si>
    <t xml:space="preserve">A.III.a </t>
  </si>
  <si>
    <t>G-12-01336</t>
  </si>
  <si>
    <t>RA 10155, p.409</t>
  </si>
  <si>
    <t>G-12-01385</t>
  </si>
  <si>
    <t>G-12-01335</t>
  </si>
  <si>
    <t>RA 10155, p. 410</t>
  </si>
  <si>
    <t>G-12-01386</t>
  </si>
  <si>
    <t>RA 10155, p. 412</t>
  </si>
  <si>
    <t>G-13-00736</t>
  </si>
  <si>
    <t>REGION XI</t>
  </si>
  <si>
    <t>G-13-00155</t>
  </si>
  <si>
    <t>RA 10155, p. 419</t>
  </si>
  <si>
    <t>REGION XIII</t>
  </si>
  <si>
    <t>G-13-00068</t>
  </si>
  <si>
    <t>RA 10155, p. 425</t>
  </si>
  <si>
    <t>MSU-General Santos</t>
  </si>
  <si>
    <t>G-12-01267</t>
  </si>
  <si>
    <t>181 scholars</t>
  </si>
  <si>
    <t>RA 10155, p. 431</t>
  </si>
  <si>
    <t>DOE</t>
  </si>
  <si>
    <t xml:space="preserve">Installation of Solar Power System </t>
  </si>
  <si>
    <t>G-12-01314</t>
  </si>
  <si>
    <t>3 barangays</t>
  </si>
  <si>
    <t>RA 10155, p. 445</t>
  </si>
  <si>
    <t xml:space="preserve">   Manila EO</t>
  </si>
  <si>
    <t>G-12-00958</t>
  </si>
  <si>
    <t>RA 10155, p. 516</t>
  </si>
  <si>
    <t>ARMC - Financial assistance for indigent patients</t>
  </si>
  <si>
    <t>G-12-00648</t>
  </si>
  <si>
    <t>ASTYMMC - Financial assistance for indigent patients</t>
  </si>
  <si>
    <t>G-13-00693</t>
  </si>
  <si>
    <t>RA 10155, p. 562</t>
  </si>
  <si>
    <t xml:space="preserve">A.III.c.8.d.1 </t>
  </si>
  <si>
    <t>G-12-00597</t>
  </si>
  <si>
    <t>G-12-01204</t>
  </si>
  <si>
    <t>G-12-01213</t>
  </si>
  <si>
    <t>G-12-01317</t>
  </si>
  <si>
    <t>G-12-01318</t>
  </si>
  <si>
    <t>G-13-00138</t>
  </si>
  <si>
    <t>BRH - Financial assistance for indigent patients</t>
  </si>
  <si>
    <t>G-12-00795</t>
  </si>
  <si>
    <t>RA 10155, p. 557</t>
  </si>
  <si>
    <t>G-13-00057</t>
  </si>
  <si>
    <t>G-13-00131</t>
  </si>
  <si>
    <t xml:space="preserve">A.III.c.8.d.2 </t>
  </si>
  <si>
    <t>BRTTH - Financial assistance for indigent patients</t>
  </si>
  <si>
    <t>G-12-00955</t>
  </si>
  <si>
    <t>G-13-00497</t>
  </si>
  <si>
    <t>BS - Financial assistance for indigent patients</t>
  </si>
  <si>
    <t>G-12-00598</t>
  </si>
  <si>
    <t>G-12-01055</t>
  </si>
  <si>
    <t>A.III.c.15.d.1</t>
  </si>
  <si>
    <t>CRMC - Financial assistance for indigent patients</t>
  </si>
  <si>
    <t>G-12-00782</t>
  </si>
  <si>
    <t>RA 10155, p. 561</t>
  </si>
  <si>
    <t>CVMC - Financial assistance for indigent patients</t>
  </si>
  <si>
    <t>G-13-00623</t>
  </si>
  <si>
    <t>RA 10155, p. 556</t>
  </si>
  <si>
    <t xml:space="preserve">A.III.c.1.d.4 </t>
  </si>
  <si>
    <t>DJNRMH - Financial assistance for indigent patients</t>
  </si>
  <si>
    <t>G-12-00592</t>
  </si>
  <si>
    <t>DJRMH - Financial assistance for indigent patients</t>
  </si>
  <si>
    <t>G-13-00704</t>
  </si>
  <si>
    <t xml:space="preserve">A.III.c.14.d.2 </t>
  </si>
  <si>
    <t>DRH - Financial assistance for indigent patients</t>
  </si>
  <si>
    <t>G-12-01187</t>
  </si>
  <si>
    <t>G-13-00152</t>
  </si>
  <si>
    <t xml:space="preserve">A.III.b.7.c </t>
  </si>
  <si>
    <t>EAMC- Financial assistance for indigent patients</t>
  </si>
  <si>
    <t>G-12-00591</t>
  </si>
  <si>
    <t>G-12-00640</t>
  </si>
  <si>
    <t>G-12-00680</t>
  </si>
  <si>
    <t>G-12-00715</t>
  </si>
  <si>
    <t>G-12-00971</t>
  </si>
  <si>
    <t>G-12-01066</t>
  </si>
  <si>
    <t>G-12-01225</t>
  </si>
  <si>
    <t>G-12-01141</t>
  </si>
  <si>
    <t>ECS- Financial assistance for indigent patients</t>
  </si>
  <si>
    <t>G-12-01184</t>
  </si>
  <si>
    <t>RA 10155, p. 559</t>
  </si>
  <si>
    <t xml:space="preserve">A.III.c.11.d.1 </t>
  </si>
  <si>
    <t>EVRMC- Financial assistance for indigent patients</t>
  </si>
  <si>
    <t>G-12-01236</t>
  </si>
  <si>
    <t>G-13-00500</t>
  </si>
  <si>
    <t>GCGMH- Financial assistance for indigent patients</t>
  </si>
  <si>
    <t>G-12-01150</t>
  </si>
  <si>
    <t xml:space="preserve">A.III.c.2.d.3 </t>
  </si>
  <si>
    <t>ITRMC- Financial assistance for indigent patients</t>
  </si>
  <si>
    <t>G-12-01169</t>
  </si>
  <si>
    <t>ITRMC - Financial assistance for indigent patients</t>
  </si>
  <si>
    <t>G-13-00495</t>
  </si>
  <si>
    <t>A.III.c.5.d.3</t>
  </si>
  <si>
    <t>JBLMGH - Financial assistance for indigent patients</t>
  </si>
  <si>
    <t>G-12-01316</t>
  </si>
  <si>
    <t>JBLMGH- Financial assistance for indigent patients</t>
  </si>
  <si>
    <t>G-13-00065</t>
  </si>
  <si>
    <t>JFMH- Financial assistance for indigent patients</t>
  </si>
  <si>
    <t>G-12-00968</t>
  </si>
  <si>
    <t>G-12-01259</t>
  </si>
  <si>
    <t>G-13-01000</t>
  </si>
  <si>
    <t>A.III.b.7.a</t>
  </si>
  <si>
    <t>JRRMMC- Financial assistance for indigent patients</t>
  </si>
  <si>
    <t>G-12-00621</t>
  </si>
  <si>
    <t>G-12-00666</t>
  </si>
  <si>
    <t>G-12-00714</t>
  </si>
  <si>
    <t>G-12-00966</t>
  </si>
  <si>
    <t>G-12-00972</t>
  </si>
  <si>
    <t>G-12-01068</t>
  </si>
  <si>
    <t>G-12-01257</t>
  </si>
  <si>
    <t>G-12-01233</t>
  </si>
  <si>
    <t>G-12-01158</t>
  </si>
  <si>
    <t>G-13-00037</t>
  </si>
  <si>
    <t>G-13-00056</t>
  </si>
  <si>
    <t>G-13-00447</t>
  </si>
  <si>
    <t>G-13-00998</t>
  </si>
  <si>
    <t>LPGHSTC- Financial assistance for indigent patients</t>
  </si>
  <si>
    <t>G-13-00737</t>
  </si>
  <si>
    <t>MMMHMC- Financial assistance for indigent patients</t>
  </si>
  <si>
    <t>G-12-01170</t>
  </si>
  <si>
    <t>NCH- Financial assistance for indigent patients</t>
  </si>
  <si>
    <t>G-12-01159</t>
  </si>
  <si>
    <t>NCMH- Financial assistance for indigent patients</t>
  </si>
  <si>
    <t>G-12-01069</t>
  </si>
  <si>
    <t>A.III.c.13.d.1</t>
  </si>
  <si>
    <t>NMMC- Financial assistance for indigent patients</t>
  </si>
  <si>
    <t>G-12-01319</t>
  </si>
  <si>
    <t>G-12-01376</t>
  </si>
  <si>
    <t>NMC- Financial assistance for indigent patients</t>
  </si>
  <si>
    <t>G-13-00726</t>
  </si>
  <si>
    <t>G-13-00609</t>
  </si>
  <si>
    <t xml:space="preserve">A.III.b.7.i </t>
  </si>
  <si>
    <t>POC- Financial assistance for indigent patients</t>
  </si>
  <si>
    <t>G-12-00639</t>
  </si>
  <si>
    <t>G-12-00667</t>
  </si>
  <si>
    <t>G-12-01021</t>
  </si>
  <si>
    <t>G-12-01056</t>
  </si>
  <si>
    <t>G-12-01234</t>
  </si>
  <si>
    <t>G-12-01157</t>
  </si>
  <si>
    <t>G-12-01144</t>
  </si>
  <si>
    <t>G-12-01180</t>
  </si>
  <si>
    <t>G-13-00656</t>
  </si>
  <si>
    <t>A.III.b.7.d</t>
  </si>
  <si>
    <t>QMMC - Financial assistance for indigent patients</t>
  </si>
  <si>
    <t>G-12-00649</t>
  </si>
  <si>
    <t>G-12-00676</t>
  </si>
  <si>
    <t>G-12-01160</t>
  </si>
  <si>
    <t xml:space="preserve">A.III.c.2.d.2 </t>
  </si>
  <si>
    <t>RIMC - Financial assistance for indigent patients</t>
  </si>
  <si>
    <t>G-12-00895</t>
  </si>
  <si>
    <t>G-12-01119</t>
  </si>
  <si>
    <t>G-12-01235</t>
  </si>
  <si>
    <t>RIMC- Financial assistance for indigent patients</t>
  </si>
  <si>
    <t>G-13-00245</t>
  </si>
  <si>
    <t>G-13-00613</t>
  </si>
  <si>
    <t>G-13-00719</t>
  </si>
  <si>
    <t>G-13-00997</t>
  </si>
  <si>
    <t>G-13-01117</t>
  </si>
  <si>
    <t xml:space="preserve">A.III.b.7.j </t>
  </si>
  <si>
    <t>G-12-00606</t>
  </si>
  <si>
    <t>G-12-00967</t>
  </si>
  <si>
    <t>G-12-01258</t>
  </si>
  <si>
    <t>G-13-00038</t>
  </si>
  <si>
    <t>G-13-00999</t>
  </si>
  <si>
    <t>SLRSHW - Financial assistance for indigent patients</t>
  </si>
  <si>
    <t>G-12-00619</t>
  </si>
  <si>
    <t>A.III.c.14.d.1</t>
  </si>
  <si>
    <t>SPMC - Financial assistance for indigent patients</t>
  </si>
  <si>
    <t>G-12-01435</t>
  </si>
  <si>
    <t>G-12-00641</t>
  </si>
  <si>
    <t>G-12-01226</t>
  </si>
  <si>
    <t>G-13-00690</t>
  </si>
  <si>
    <t>TMC - Financial assistance for indigent patients</t>
  </si>
  <si>
    <t>G-12-00620</t>
  </si>
  <si>
    <t>A.III.c.4.d.2</t>
  </si>
  <si>
    <t>VGH - Financial assistance for indigent patients</t>
  </si>
  <si>
    <t>G-12-01022</t>
  </si>
  <si>
    <t>G-13-00689</t>
  </si>
  <si>
    <t>VMC - Financial assistance for indigent patients</t>
  </si>
  <si>
    <t>G-13-00036</t>
  </si>
  <si>
    <t>A.III.c.1.d.1</t>
  </si>
  <si>
    <t>VMH - Financial assistance for indigent patients</t>
  </si>
  <si>
    <t>G-12-00618</t>
  </si>
  <si>
    <t>G-12-01067</t>
  </si>
  <si>
    <t>A.III.c.10.d.1</t>
  </si>
  <si>
    <t>VSMMC - Financial assistance for indigent patients</t>
  </si>
  <si>
    <t>G-12-00677</t>
  </si>
  <si>
    <t>G-12-01064</t>
  </si>
  <si>
    <t>G-12-01183</t>
  </si>
  <si>
    <t>G-13-00697</t>
  </si>
  <si>
    <t>G-13-00881</t>
  </si>
  <si>
    <t xml:space="preserve">A.III.c.9.d.1 </t>
  </si>
  <si>
    <t>G-12-01147</t>
  </si>
  <si>
    <t>G-12-01383</t>
  </si>
  <si>
    <t>G-13-00547</t>
  </si>
  <si>
    <t>G-13-00745</t>
  </si>
  <si>
    <t>A.III.c.12.d.1</t>
  </si>
  <si>
    <t>G-12-00783</t>
  </si>
  <si>
    <t>G-13-00705</t>
  </si>
  <si>
    <t>G-13-00858</t>
  </si>
  <si>
    <t>Special Program for Employment of Students (SPES)</t>
  </si>
  <si>
    <t>G-12-01399</t>
  </si>
  <si>
    <t>G-12-01416</t>
  </si>
  <si>
    <t>Government Internship Program (GIP) for FY 2012</t>
  </si>
  <si>
    <t>B-12-00658</t>
  </si>
  <si>
    <t>Program for Employment of students</t>
  </si>
  <si>
    <t>G-13-00164</t>
  </si>
  <si>
    <t>G-13-00246</t>
  </si>
  <si>
    <t>G-13-00702</t>
  </si>
  <si>
    <t>G-13-01043</t>
  </si>
  <si>
    <t xml:space="preserve">A.III.a.1.a.1 </t>
  </si>
  <si>
    <t>B-13-00678</t>
  </si>
  <si>
    <t>Livelihood Trainings</t>
  </si>
  <si>
    <t>G-12-01324</t>
  </si>
  <si>
    <t>RA 10155, p. 669</t>
  </si>
  <si>
    <t>G-12-01325</t>
  </si>
  <si>
    <t>G-13-01089</t>
  </si>
  <si>
    <t>A.III.f.1.a</t>
  </si>
  <si>
    <t>G-12-00593</t>
  </si>
  <si>
    <t>G-12-00654</t>
  </si>
  <si>
    <t>G-12-00728</t>
  </si>
  <si>
    <t>G-12-00962</t>
  </si>
  <si>
    <t>G-12-00976</t>
  </si>
  <si>
    <t>G-12-01256</t>
  </si>
  <si>
    <t>G-12-01203</t>
  </si>
  <si>
    <t>G-12-00604</t>
  </si>
  <si>
    <t>Gem Training Center - livelihood program</t>
  </si>
  <si>
    <t>G-13-00242</t>
  </si>
  <si>
    <t>G-13-00446</t>
  </si>
  <si>
    <t>G-13-00721</t>
  </si>
  <si>
    <t>no disbursement yet</t>
  </si>
  <si>
    <t>Skills Training and Livelihood Development Program</t>
  </si>
  <si>
    <t>G-13-00753</t>
  </si>
  <si>
    <t>G-13-01088</t>
  </si>
  <si>
    <t>G-12-01151</t>
  </si>
  <si>
    <t>Scholarship Program/Skills Enhancement</t>
  </si>
  <si>
    <t>G-12-00894</t>
  </si>
  <si>
    <t>Entre-Pnoy Skills Program under GIP</t>
  </si>
  <si>
    <t>G-13-00002</t>
  </si>
  <si>
    <t>G-12-01217</t>
  </si>
  <si>
    <t>G-13-00061</t>
  </si>
  <si>
    <t>G-13-00067</t>
  </si>
  <si>
    <t>Scholarship - Manpower &amp; Skills Training</t>
  </si>
  <si>
    <t>G-12-00902</t>
  </si>
  <si>
    <t>G-13-00174</t>
  </si>
  <si>
    <t>G-13-00295</t>
  </si>
  <si>
    <t>Scholarship Program - withdrawal of G-13-00174</t>
  </si>
  <si>
    <t>G-13-00666</t>
  </si>
  <si>
    <t>G-13-00667</t>
  </si>
  <si>
    <t>G-13-00058</t>
  </si>
  <si>
    <t>G-13-00122</t>
  </si>
  <si>
    <t>G-12-01161</t>
  </si>
  <si>
    <t>G-13-00405</t>
  </si>
  <si>
    <t>G-13-00619</t>
  </si>
  <si>
    <t>G-12-01323</t>
  </si>
  <si>
    <t>G-12-00779</t>
  </si>
  <si>
    <t>Specialty Training/Employment Program</t>
  </si>
  <si>
    <t>G-13-00005</t>
  </si>
  <si>
    <t>G-12-01186</t>
  </si>
  <si>
    <t>G-13-00314</t>
  </si>
  <si>
    <t>G-12-00780</t>
  </si>
  <si>
    <t>G-13-00192</t>
  </si>
  <si>
    <t>G-13-00255</t>
  </si>
  <si>
    <t>G-13-01008</t>
  </si>
  <si>
    <t>G-12-01326</t>
  </si>
  <si>
    <t>RA 10155, p. 676</t>
  </si>
  <si>
    <t>G-12-01268</t>
  </si>
  <si>
    <t>unfunded - as per information from DBM Local it was not funded due to TRO</t>
  </si>
  <si>
    <t>G-13-00747</t>
  </si>
  <si>
    <t>not yet implemented</t>
  </si>
  <si>
    <t>Skills Training Program</t>
  </si>
  <si>
    <t>G-13-00917</t>
  </si>
  <si>
    <t>RA 10155, p. 672</t>
  </si>
  <si>
    <t>Various Infra Projects</t>
  </si>
  <si>
    <t>G-12-00528</t>
  </si>
  <si>
    <t>G-12-00534</t>
  </si>
  <si>
    <t xml:space="preserve">Various Priority Infra Projects </t>
  </si>
  <si>
    <t>A-12-00538 to 
A-12-00543</t>
  </si>
  <si>
    <t>Construction of the Teacher Education and Law Center Building, Rizal Technological University</t>
  </si>
  <si>
    <t>A-12-00545</t>
  </si>
  <si>
    <t>A-12-00560 to 
A-12-00583</t>
  </si>
  <si>
    <t>A-12-00626</t>
  </si>
  <si>
    <t>A-12-00671</t>
  </si>
  <si>
    <t>A-12-00672</t>
  </si>
  <si>
    <t>A-12-00674</t>
  </si>
  <si>
    <t>A-12-00691</t>
  </si>
  <si>
    <t>A-12-00692</t>
  </si>
  <si>
    <t>A-12-00693</t>
  </si>
  <si>
    <t>A-12-00701 to 
A-12-00707</t>
  </si>
  <si>
    <t>A-12-00754</t>
  </si>
  <si>
    <t xml:space="preserve">Various Infra Projects </t>
  </si>
  <si>
    <t>G-12-00758</t>
  </si>
  <si>
    <t>Various Infra Projects including Local Roads</t>
  </si>
  <si>
    <t>A-12-00759</t>
  </si>
  <si>
    <t>A-12-00760</t>
  </si>
  <si>
    <t>A-12-00761</t>
  </si>
  <si>
    <t>G-12-00899</t>
  </si>
  <si>
    <t>G-12-00900</t>
  </si>
  <si>
    <t>A-12-00800 to 
A-12-00803</t>
  </si>
  <si>
    <t>A-12-00804 to 
A-12-00805</t>
  </si>
  <si>
    <t>A-12-00814 to 
A-12-00881</t>
  </si>
  <si>
    <t>A-12-00883</t>
  </si>
  <si>
    <t>A-12-00929</t>
  </si>
  <si>
    <t>A-12-00916</t>
  </si>
  <si>
    <t>A-12-01027</t>
  </si>
  <si>
    <t>A-12-00936 to 
A-12-00937</t>
  </si>
  <si>
    <t>A-12-00977 to 
A-12-00978</t>
  </si>
  <si>
    <t>A-12-00993 to 
A-12-00995</t>
  </si>
  <si>
    <t>A-12-01008</t>
  </si>
  <si>
    <t>A-12-01094</t>
  </si>
  <si>
    <t>A-12-00979 to 
A-12-00989</t>
  </si>
  <si>
    <t>A-12-00996 to 
A-12-01007</t>
  </si>
  <si>
    <t>Various Infra including Local Roads-
withdrawal (A-12-00802)</t>
  </si>
  <si>
    <t>A-12-01108</t>
  </si>
  <si>
    <t>A-12-01109</t>
  </si>
  <si>
    <t>A-12-01010 to 
A-12-01011</t>
  </si>
  <si>
    <t>A-12-01103</t>
  </si>
  <si>
    <t>A-12-01105</t>
  </si>
  <si>
    <t>A-12-01114</t>
  </si>
  <si>
    <t>Support to Priority Programs &amp; Projects</t>
  </si>
  <si>
    <t>G-12-01207</t>
  </si>
  <si>
    <t>G-12-01208</t>
  </si>
  <si>
    <t>Various Infra Projects-withdrawal (G-12-00899)</t>
  </si>
  <si>
    <t>G-12-01300</t>
  </si>
  <si>
    <t>G-12-01301</t>
  </si>
  <si>
    <t>G-12-01312</t>
  </si>
  <si>
    <t>A-12-00992</t>
  </si>
  <si>
    <t>A-12-01237 to 
A-12-01255</t>
  </si>
  <si>
    <t>A-12-01261 to 
A-12-01265; 
A-12-01269 to 
A-12-01285</t>
  </si>
  <si>
    <t>A-12-01286</t>
  </si>
  <si>
    <t>A-12-01294</t>
  </si>
  <si>
    <t>A-12-01355</t>
  </si>
  <si>
    <t>A-12-01360 to 
A-12-01362; 
A-12-01365; 
A-12-01367</t>
  </si>
  <si>
    <t>A-12-01404 to 
A-12-01408</t>
  </si>
  <si>
    <t>A-12-01428 to 
A-12-01430</t>
  </si>
  <si>
    <t>Construction of Multi-Purpose Building 
(Brgy. Covered Court)</t>
  </si>
  <si>
    <t>G-13-00033</t>
  </si>
  <si>
    <t>A-13-00034 &amp; 
A-13-00035</t>
  </si>
  <si>
    <t>A-13-00051 to 
A-13-00054</t>
  </si>
  <si>
    <t>A-13-00159</t>
  </si>
  <si>
    <t>A-13-00080 to 
A-13-00091</t>
  </si>
  <si>
    <t>A-13-00161 to 
A-13-00162</t>
  </si>
  <si>
    <t>A-13-00223 to 
A-13-00231</t>
  </si>
  <si>
    <t>A-13-00260 to 
A-13-00262</t>
  </si>
  <si>
    <t>A-13-00327 to 
A-13-00328</t>
  </si>
  <si>
    <t>A-13-00413</t>
  </si>
  <si>
    <t>A-13-00481</t>
  </si>
  <si>
    <t>A-13-00458 to 
A-13-00470</t>
  </si>
  <si>
    <t>A-13-00503 to 
A-13-00507</t>
  </si>
  <si>
    <t>A-13-00512 to 
A-13-00513</t>
  </si>
  <si>
    <t>A-13-00601 to 
A-13-00603</t>
  </si>
  <si>
    <t>A-13-00625 to 
A-13-00627</t>
  </si>
  <si>
    <t>A-13-00668</t>
  </si>
  <si>
    <t>A-13-00675 to 
A-13-00676</t>
  </si>
  <si>
    <t>A-13-00768</t>
  </si>
  <si>
    <t>A-13-00886 to 
A-13-00910</t>
  </si>
  <si>
    <t>A-13-00953</t>
  </si>
  <si>
    <t>A-13-01004 to 
A-13-01006</t>
  </si>
  <si>
    <t>A-13-01025</t>
  </si>
  <si>
    <t>A-13-01151 to 
A-13-01152</t>
  </si>
  <si>
    <t>A-13-01193</t>
  </si>
  <si>
    <t>Various Infra including Local Roads - 
withdrawal of A-13-00908</t>
  </si>
  <si>
    <t>A-13-01200</t>
  </si>
  <si>
    <t>A-13-01201</t>
  </si>
  <si>
    <t>A-13-01234</t>
  </si>
  <si>
    <t>Financial assistance for Comprehensive and Integrated Delivery of Social Services (CIDSS)</t>
  </si>
  <si>
    <t>G-12-00594</t>
  </si>
  <si>
    <t>G-12-00602</t>
  </si>
  <si>
    <t>G-12-00610</t>
  </si>
  <si>
    <t>G-12-00617</t>
  </si>
  <si>
    <t>G-12-00653</t>
  </si>
  <si>
    <t>G-12-00665</t>
  </si>
  <si>
    <t>G-12-00773</t>
  </si>
  <si>
    <t>G-12-00784</t>
  </si>
  <si>
    <t>G-12-00791</t>
  </si>
  <si>
    <t>G-12-00917</t>
  </si>
  <si>
    <t>G-12-00940 to 
G-12-00944</t>
  </si>
  <si>
    <t>G-12-00960</t>
  </si>
  <si>
    <t>G-12-00975</t>
  </si>
  <si>
    <t>G-12-01014 &amp; 
G-12-01016</t>
  </si>
  <si>
    <t>G-12-01062</t>
  </si>
  <si>
    <t>G-12-01086</t>
  </si>
  <si>
    <t>G-12-01209</t>
  </si>
  <si>
    <t>G-12-01230</t>
  </si>
  <si>
    <t>G-12-01320</t>
  </si>
  <si>
    <t>G-12-01321</t>
  </si>
  <si>
    <t>G-12-01322</t>
  </si>
  <si>
    <t>G-12-01182</t>
  </si>
  <si>
    <t>G-12-01377</t>
  </si>
  <si>
    <t>G-12-01418</t>
  </si>
  <si>
    <t>G-12-01434</t>
  </si>
  <si>
    <t>G-12-00529</t>
  </si>
  <si>
    <t>G-13-00042</t>
  </si>
  <si>
    <t>RA 10155, p.1002</t>
  </si>
  <si>
    <t>G-13-00046</t>
  </si>
  <si>
    <t>G-13-00047</t>
  </si>
  <si>
    <t>G-13-00050</t>
  </si>
  <si>
    <t>G-13-00118</t>
  </si>
  <si>
    <t>G-13-00120</t>
  </si>
  <si>
    <t>G-13-00214</t>
  </si>
  <si>
    <t>G-13-00237</t>
  </si>
  <si>
    <t>G-13-00238</t>
  </si>
  <si>
    <t>G-13-00241</t>
  </si>
  <si>
    <t>G-13-00257</t>
  </si>
  <si>
    <t>G-13-00393 to 
G-13-00394</t>
  </si>
  <si>
    <t>G-13-00499</t>
  </si>
  <si>
    <t>G-13-00610</t>
  </si>
  <si>
    <t>G-13-00694</t>
  </si>
  <si>
    <t>G-13-00720</t>
  </si>
  <si>
    <t>G-13-00722</t>
  </si>
  <si>
    <t>G-13-00739</t>
  </si>
  <si>
    <t>G-13-00880</t>
  </si>
  <si>
    <t>G-13-01009</t>
  </si>
  <si>
    <t>G-13-01140</t>
  </si>
  <si>
    <t>DTI-OSEC</t>
  </si>
  <si>
    <t>Livelihood Project - Watershed Initiative, Inc.</t>
  </si>
  <si>
    <t>G-13-00239</t>
  </si>
  <si>
    <t>RA 10352, p. 1026</t>
  </si>
  <si>
    <t>G-12-00603</t>
  </si>
  <si>
    <t>G-12-00717</t>
  </si>
  <si>
    <t>G-12-01058</t>
  </si>
  <si>
    <t>G-12-01120</t>
  </si>
  <si>
    <t>G-12-01191</t>
  </si>
  <si>
    <t>G-12-01200</t>
  </si>
  <si>
    <t>G-12-01146</t>
  </si>
  <si>
    <t>G-12-01153</t>
  </si>
  <si>
    <t>G-12-01381</t>
  </si>
  <si>
    <t>G-12-01417</t>
  </si>
  <si>
    <t>G-13-00062</t>
  </si>
  <si>
    <t>G-13-00234 to 
G-13-00236</t>
  </si>
  <si>
    <t>G-13-00498</t>
  </si>
  <si>
    <t>G-13-00615</t>
  </si>
  <si>
    <t>G-13-00695</t>
  </si>
  <si>
    <t>G-13-00710</t>
  </si>
  <si>
    <t>G-13-00738</t>
  </si>
  <si>
    <t>G-13-00852</t>
  </si>
  <si>
    <t>G-13-00943</t>
  </si>
  <si>
    <t xml:space="preserve">   Withdrawal of G-12-01153 dated Dec. 7, 2012</t>
  </si>
  <si>
    <t>G-13-00915</t>
  </si>
  <si>
    <t>G-13-00916</t>
  </si>
  <si>
    <t>G-12-01398</t>
  </si>
  <si>
    <t>NCMF</t>
  </si>
  <si>
    <t xml:space="preserve">   Livelihood Projects</t>
  </si>
  <si>
    <t>G-12-00730</t>
  </si>
  <si>
    <t>RA 10155, p. 1185</t>
  </si>
  <si>
    <t>G-12-01015</t>
  </si>
  <si>
    <t xml:space="preserve">   Livelihood Trainings </t>
  </si>
  <si>
    <t>G-13-00403</t>
  </si>
  <si>
    <t>ALGU</t>
  </si>
  <si>
    <t xml:space="preserve">RO 4A </t>
  </si>
  <si>
    <t>Kawit, Cavite</t>
  </si>
  <si>
    <t>G-12-00584</t>
  </si>
  <si>
    <t>San Leonardo, Nueva Ecija</t>
  </si>
  <si>
    <t>G-12-00585</t>
  </si>
  <si>
    <t>G-12-00586</t>
  </si>
  <si>
    <t>G-12-00587</t>
  </si>
  <si>
    <t>Province of Quirino</t>
  </si>
  <si>
    <t>G-12-00600</t>
  </si>
  <si>
    <t>G-12-00601</t>
  </si>
  <si>
    <t>G-12-00608</t>
  </si>
  <si>
    <t>Various LGUs (Guimaras)</t>
  </si>
  <si>
    <t>G-12-00609</t>
  </si>
  <si>
    <t>Sta. Cruz, Laguna</t>
  </si>
  <si>
    <t>G-12-00611</t>
  </si>
  <si>
    <t>Various LGUs (Nueva Vizcaya)</t>
  </si>
  <si>
    <t>G-12-00612</t>
  </si>
  <si>
    <t>Brgy. Villa Florentino, Diadi</t>
  </si>
  <si>
    <t>Brgy. Camandag, Ambaguio</t>
  </si>
  <si>
    <t>Aritao, NV</t>
  </si>
  <si>
    <t>Bambang, NV</t>
  </si>
  <si>
    <t>Kasibu, NV</t>
  </si>
  <si>
    <t>Bagabag, NV</t>
  </si>
  <si>
    <t>Quezon, NV</t>
  </si>
  <si>
    <t>Solano, NV</t>
  </si>
  <si>
    <t>Villaverde, NV</t>
  </si>
  <si>
    <t>Various Barangays</t>
  </si>
  <si>
    <t>Various LGUs (Quezon)</t>
  </si>
  <si>
    <t>G-12-00613</t>
  </si>
  <si>
    <t>RO 12</t>
  </si>
  <si>
    <t>Malabang, Lanao del Sur</t>
  </si>
  <si>
    <t>G-12-00615</t>
  </si>
  <si>
    <t>City of Antipolo</t>
  </si>
  <si>
    <t>G-12-00616</t>
  </si>
  <si>
    <t>G-12-00625</t>
  </si>
  <si>
    <t xml:space="preserve">Sagñay, Camarines Sur </t>
  </si>
  <si>
    <t>G-12-00628</t>
  </si>
  <si>
    <t>G-12-00629</t>
  </si>
  <si>
    <t>Sangladan, Paoay, Ilocos Norte</t>
  </si>
  <si>
    <t>G-12-00630</t>
  </si>
  <si>
    <t>San Juan City</t>
  </si>
  <si>
    <t>G-12-00631</t>
  </si>
  <si>
    <t>G-12-00632</t>
  </si>
  <si>
    <t>Isabela</t>
  </si>
  <si>
    <t>G-12-00633</t>
  </si>
  <si>
    <t>G-12-00634</t>
  </si>
  <si>
    <t>G-12-00635</t>
  </si>
  <si>
    <t>Medina, Misamis Oriental</t>
  </si>
  <si>
    <t>G-12-00636</t>
  </si>
  <si>
    <t>Zamboanga del Sur</t>
  </si>
  <si>
    <t>G-12-00637</t>
  </si>
  <si>
    <t>G-12-00645</t>
  </si>
  <si>
    <t>Gapan City, Nueva Ecija</t>
  </si>
  <si>
    <t>G-12-00646</t>
  </si>
  <si>
    <t>Various LGUs (Ilocos Norte)</t>
  </si>
  <si>
    <t>G-12-00655</t>
  </si>
  <si>
    <t>Pasuquin, Ilocos Norte (1,900)</t>
  </si>
  <si>
    <t>City of Laoag, Ilocos Norte (1,710)</t>
  </si>
  <si>
    <t>Bangui, Ilocos Norte (1,500)</t>
  </si>
  <si>
    <t>Vintar, Ilocos Norte (230)</t>
  </si>
  <si>
    <t>Various LGUs (Samar)</t>
  </si>
  <si>
    <t>G-12-00659</t>
  </si>
  <si>
    <t>G-12-00661</t>
  </si>
  <si>
    <t>Sitangkai, Tawi-Tawi</t>
  </si>
  <si>
    <t>G-12-00662</t>
  </si>
  <si>
    <t>San Fernando, Masbate</t>
  </si>
  <si>
    <t>G-12-00664</t>
  </si>
  <si>
    <t>G-12-00683</t>
  </si>
  <si>
    <t>G-12-00684</t>
  </si>
  <si>
    <t>G-12-00685</t>
  </si>
  <si>
    <t>Leyte</t>
  </si>
  <si>
    <t>G-12-00686</t>
  </si>
  <si>
    <t>G-12-00687</t>
  </si>
  <si>
    <t>G-12-00688</t>
  </si>
  <si>
    <t>G-12-00716</t>
  </si>
  <si>
    <t>G-12-00719</t>
  </si>
  <si>
    <t>Mabini, Pangasinan (10,000)</t>
  </si>
  <si>
    <t>Bagulin, La Union (10,000)</t>
  </si>
  <si>
    <t>Magsingal, Ilocos Sur (10,000)</t>
  </si>
  <si>
    <t>Dolores, Abra</t>
  </si>
  <si>
    <t>G-12-00720</t>
  </si>
  <si>
    <t>G-12-00721</t>
  </si>
  <si>
    <t>G-12-00722</t>
  </si>
  <si>
    <t>Sual, Pangasinan</t>
  </si>
  <si>
    <t>Bacarra, Ilocos Norte</t>
  </si>
  <si>
    <t>Badoc, Iolcos Norte</t>
  </si>
  <si>
    <t>Banna, Ilocos Norte</t>
  </si>
  <si>
    <t>Dingras, Ilocos Norte</t>
  </si>
  <si>
    <t>Pagudgud, Ilocos Norte</t>
  </si>
  <si>
    <t>Piddig, Ilocos Norte</t>
  </si>
  <si>
    <t>Currimao, Ilocos Norte</t>
  </si>
  <si>
    <t>Agno, Pangasinan</t>
  </si>
  <si>
    <t>Bani, Pangasinan</t>
  </si>
  <si>
    <t>Bolinao, Pangasinan</t>
  </si>
  <si>
    <t>Burgos, Pangasinan</t>
  </si>
  <si>
    <t>Dasol, Pangasinan</t>
  </si>
  <si>
    <t>Infanta, Pangasinan</t>
  </si>
  <si>
    <t>Mabini, Pangasinan</t>
  </si>
  <si>
    <t>Balungao, Pangasinan</t>
  </si>
  <si>
    <t>Villasis, Pangasinan</t>
  </si>
  <si>
    <t>Mangaldan, Pangasinan</t>
  </si>
  <si>
    <t>San Fabian, Pangasinan</t>
  </si>
  <si>
    <t>Calasiao, Pangasinan</t>
  </si>
  <si>
    <t>Mapandan, Pangasinan</t>
  </si>
  <si>
    <t>Santa Barbara, Pangasinan</t>
  </si>
  <si>
    <t>Aguilar, Pangasinan</t>
  </si>
  <si>
    <t>Binmaley, Pangasinan</t>
  </si>
  <si>
    <t>Bugallon, Pangasinan</t>
  </si>
  <si>
    <t>Lingayen, Pangasinan</t>
  </si>
  <si>
    <t>Basista, Pangasinan</t>
  </si>
  <si>
    <t>Urbiztondo, Pangasinan</t>
  </si>
  <si>
    <t>Natividad, Pangasinan</t>
  </si>
  <si>
    <t>San Nicolas, Pangasinan</t>
  </si>
  <si>
    <t>San Quintin, Pangasinan</t>
  </si>
  <si>
    <t>Santa Maria, Pangasinan</t>
  </si>
  <si>
    <t>Tayug, Pangasinan</t>
  </si>
  <si>
    <t>Alcala, Pangasinan</t>
  </si>
  <si>
    <t>Asingan, Pangasinan</t>
  </si>
  <si>
    <t>Bautista, Pangasinan</t>
  </si>
  <si>
    <t>Laoac, Pangasinan</t>
  </si>
  <si>
    <t>Pozzorubio, Pangasinan</t>
  </si>
  <si>
    <t>Rosales, Pangasinan</t>
  </si>
  <si>
    <t>San Manuel, Pangasinan</t>
  </si>
  <si>
    <t>Santo Tomas, Pangasinan</t>
  </si>
  <si>
    <t>Sison, Pangasinanan</t>
  </si>
  <si>
    <t>Labrador, Pangasinan</t>
  </si>
  <si>
    <t>Malasiqui, Pangasinan</t>
  </si>
  <si>
    <t>San Jacinto, Pangasinan</t>
  </si>
  <si>
    <t>Adams, Ilocos Norte</t>
  </si>
  <si>
    <t>Bangui, Ilocos Norte</t>
  </si>
  <si>
    <t>Burgos, Ilocos Norte</t>
  </si>
  <si>
    <t>Carasi, Ilocos Norte</t>
  </si>
  <si>
    <t>Marcos, Ilocos Norte</t>
  </si>
  <si>
    <t>Nueva Era, Ilocos Norte</t>
  </si>
  <si>
    <t>Paoay, Ilocos Norte</t>
  </si>
  <si>
    <t>Pasuquin, Ilocos Norte</t>
  </si>
  <si>
    <t>Pinili, Ilocos Norte</t>
  </si>
  <si>
    <t>San Nicolas, Ilocos Norte</t>
  </si>
  <si>
    <t>Sarrat, Ilocos Norte</t>
  </si>
  <si>
    <t>Solsona, Ilocos Norte</t>
  </si>
  <si>
    <t>Vintar, Ilocos Norte</t>
  </si>
  <si>
    <t>Anda, Pangasinan</t>
  </si>
  <si>
    <t>Mangatarem, Pangasinan</t>
  </si>
  <si>
    <t>Dumalneg, Ilocos Norte</t>
  </si>
  <si>
    <t>G-12-00723</t>
  </si>
  <si>
    <t>City of Sorsogon, Sorsogon</t>
  </si>
  <si>
    <t>G-12-00724</t>
  </si>
  <si>
    <t>Northern Samar</t>
  </si>
  <si>
    <t>G-12-00725</t>
  </si>
  <si>
    <t>Various LGUs (Cebu)</t>
  </si>
  <si>
    <t>G-12-00726</t>
  </si>
  <si>
    <t>Various LGUs (Surigao del Sur)</t>
  </si>
  <si>
    <t>G-12-00727</t>
  </si>
  <si>
    <t>Various LGUs (Nueva Ecija)</t>
  </si>
  <si>
    <t>G-12-00729</t>
  </si>
  <si>
    <t>Pagudpud, Ilocos Norte</t>
  </si>
  <si>
    <t>G-12-00731</t>
  </si>
  <si>
    <t>Picong, Lanao de Sur</t>
  </si>
  <si>
    <t>G-12-00732</t>
  </si>
  <si>
    <t>Various LGUs (LD of Nueva Vizcaya)</t>
  </si>
  <si>
    <t>G-12-00737</t>
  </si>
  <si>
    <t>Brgy Poblacion, Diadi, NV</t>
  </si>
  <si>
    <t>Brgy. Don Domingo, Bayombong</t>
  </si>
  <si>
    <t>Brgy. Bacayan, Cebu City II</t>
  </si>
  <si>
    <t>G-12-00772</t>
  </si>
  <si>
    <t>Calapan City, Oriental Mindoro</t>
  </si>
  <si>
    <t>G-12-00775</t>
  </si>
  <si>
    <t>G-12-00776</t>
  </si>
  <si>
    <t>Various LGUs (Ilocos Norte I)</t>
  </si>
  <si>
    <t>G-12-00778</t>
  </si>
  <si>
    <t>Pasuquin (550)</t>
  </si>
  <si>
    <t>City of Laoag (4,000)</t>
  </si>
  <si>
    <t>Bacarra (450)</t>
  </si>
  <si>
    <t>Brgy. 23, San Matias, Laoag City, Ilocos Norte</t>
  </si>
  <si>
    <t>G-12-00781</t>
  </si>
  <si>
    <t>Various LGUs (LD of Guimaras)</t>
  </si>
  <si>
    <t>G-12-00792</t>
  </si>
  <si>
    <t>Antipolo City, Rizal</t>
  </si>
  <si>
    <t>G-12-00793</t>
  </si>
  <si>
    <t>G-12-00794</t>
  </si>
  <si>
    <t>Abucay, Bataan</t>
  </si>
  <si>
    <t>G-12-00797</t>
  </si>
  <si>
    <t>Brgy. Poblacion III, Sto. Tomas, Batangas</t>
  </si>
  <si>
    <t>G-12-00798</t>
  </si>
  <si>
    <t>G-12-00806</t>
  </si>
  <si>
    <t>G-12-00807</t>
  </si>
  <si>
    <t>G-12-00808</t>
  </si>
  <si>
    <t>Mun. of Labo, Cam. Norte</t>
  </si>
  <si>
    <t>Mun. of Matnog, Sorsogon</t>
  </si>
  <si>
    <t>Iloilo City</t>
  </si>
  <si>
    <t>G-12-00809</t>
  </si>
  <si>
    <t>G-12-00810</t>
  </si>
  <si>
    <t>G-12-00811</t>
  </si>
  <si>
    <t>Various LGUs (Bukidnon)</t>
  </si>
  <si>
    <t>G-12-00812</t>
  </si>
  <si>
    <t>Kalilangan, Buk</t>
  </si>
  <si>
    <t>Dipolog City, Zamboanga del Norte</t>
  </si>
  <si>
    <t>G-12-00892</t>
  </si>
  <si>
    <t>Brgy. Baritao, Mnaoag, Pangasinan</t>
  </si>
  <si>
    <t>G-12-00893</t>
  </si>
  <si>
    <t>G-12-00898</t>
  </si>
  <si>
    <t>G-12-00923</t>
  </si>
  <si>
    <t>G-12-00901</t>
  </si>
  <si>
    <t>Baclayon, Bohol</t>
  </si>
  <si>
    <t>G-12-00903</t>
  </si>
  <si>
    <t>Bansud, Oriental Mindoro</t>
  </si>
  <si>
    <t>G-12-00904</t>
  </si>
  <si>
    <t>Sta. Ana, Manila</t>
  </si>
  <si>
    <t>G-12-00919</t>
  </si>
  <si>
    <t>G-12-00922</t>
  </si>
  <si>
    <t>G-12-00945</t>
  </si>
  <si>
    <t>Sta. Praxedes, Cagayan</t>
  </si>
  <si>
    <t>G-12-00946</t>
  </si>
  <si>
    <t>Masinloc, Zambales</t>
  </si>
  <si>
    <t>G-12-00947</t>
  </si>
  <si>
    <t>G-12-00948</t>
  </si>
  <si>
    <t>Bugasong, Antique</t>
  </si>
  <si>
    <t>G-12-00949</t>
  </si>
  <si>
    <t>Naval, Biliran</t>
  </si>
  <si>
    <t>G-12-00950</t>
  </si>
  <si>
    <t>G-12-00951</t>
  </si>
  <si>
    <t>Baliangao, Mis Occ - P 200,000</t>
  </si>
  <si>
    <t>Concepcion, Mis Occ -    200,000</t>
  </si>
  <si>
    <t>Panaon, Mis Occ -             200,000</t>
  </si>
  <si>
    <t>Oroquieta City -                   200,000</t>
  </si>
  <si>
    <t>Aloran, Mis Occ -               200,000</t>
  </si>
  <si>
    <t>Plaridel, Mis Occ -             200,000</t>
  </si>
  <si>
    <t>Sapang Dalaga, Mis Occ -  200,000</t>
  </si>
  <si>
    <t>Ozamis City         -               200,000</t>
  </si>
  <si>
    <t>Tangub City         -               200,000</t>
  </si>
  <si>
    <t>Bonifacio, Mis Occ -        200,000</t>
  </si>
  <si>
    <t>Don V. Chiongbian, Mis Occ -   200,000</t>
  </si>
  <si>
    <t>Jimenez, Mis Occ -            200,000</t>
  </si>
  <si>
    <t>Sinacaban, Mis Occ -       200,000</t>
  </si>
  <si>
    <t>Tudela, Mis Occ -              200,000</t>
  </si>
  <si>
    <t>Calamba, Mis Occ -         200,000</t>
  </si>
  <si>
    <t>Clarin. Mis Occ -               200,000</t>
  </si>
  <si>
    <t>Lopez Jaena, Mis Occ - 200,000</t>
  </si>
  <si>
    <t>G-12-00953</t>
  </si>
  <si>
    <t>G-12-00954</t>
  </si>
  <si>
    <t>Pasuquin (750)</t>
  </si>
  <si>
    <t>Vintar (430)</t>
  </si>
  <si>
    <t>City of Laoag (650)</t>
  </si>
  <si>
    <t>Bangui (1,500)</t>
  </si>
  <si>
    <t>Sta. Maria (650)</t>
  </si>
  <si>
    <t>G-12-00957</t>
  </si>
  <si>
    <t xml:space="preserve"> Malabon City</t>
  </si>
  <si>
    <t>G-12-00959</t>
  </si>
  <si>
    <t>Surigao del Sur I</t>
  </si>
  <si>
    <t>G-12-00973</t>
  </si>
  <si>
    <t>Various LGUs (Samar I)</t>
  </si>
  <si>
    <t>G-12-00974</t>
  </si>
  <si>
    <t>G-12-01074</t>
  </si>
  <si>
    <t>Malay, Aklan</t>
  </si>
  <si>
    <t>G-12-01080</t>
  </si>
  <si>
    <t>G-12-01081</t>
  </si>
  <si>
    <t>* Unobligated</t>
  </si>
  <si>
    <t>G-12-01012</t>
  </si>
  <si>
    <t>G-12-01013</t>
  </si>
  <si>
    <t>G-12-01017</t>
  </si>
  <si>
    <t>G-12-01018</t>
  </si>
  <si>
    <t>G-12-01023</t>
  </si>
  <si>
    <t>Brgy. Cabuaan, Bayombong, NV</t>
  </si>
  <si>
    <t>Brgy. Ipil-Cuneg, Bayombong, NV</t>
  </si>
  <si>
    <t>Brgy. Buenavista, Bayombong, NV</t>
  </si>
  <si>
    <t>Brgy. Bansing, Bayombong, NV</t>
  </si>
  <si>
    <t>Brgy. Bonfal East, Bayombong, NV</t>
  </si>
  <si>
    <t>Brgy. Bonfal Proper, Bayombong, NV</t>
  </si>
  <si>
    <t>Brgy. Bonfal West, Bayombong, NV</t>
  </si>
  <si>
    <t>Brgy. La Torre South, Bayombong, NV</t>
  </si>
  <si>
    <t>Brgy. Magapuy, Bayombong, NV</t>
  </si>
  <si>
    <t>Brgy. Masoc, Bayombong, NV</t>
  </si>
  <si>
    <t>Brgy. Busilac, Bayombong, NV</t>
  </si>
  <si>
    <t>Brgy. Casat, Bayombong, NV</t>
  </si>
  <si>
    <t>Brgy. Don Domingo Maddela, Bayombong, NV</t>
  </si>
  <si>
    <t>Brgy. Don Mariano Marcos</t>
  </si>
  <si>
    <t>Brgy. District III Pob. (Don Mariano Perez)</t>
  </si>
  <si>
    <t>Bayombong, NV</t>
  </si>
  <si>
    <t>Brgy. Paitan, Bayombong, NV</t>
  </si>
  <si>
    <t>Brgy. Salvacion, Bayombong, NV</t>
  </si>
  <si>
    <t>Brgy. Visita Alegre, Bayombong, NV</t>
  </si>
  <si>
    <t>Davao Oriental II</t>
  </si>
  <si>
    <t>G-12-01040</t>
  </si>
  <si>
    <t>G-12-01044</t>
  </si>
  <si>
    <t>Batangas</t>
  </si>
  <si>
    <t>G-12-01053</t>
  </si>
  <si>
    <t>Ragay, Camarines Sur</t>
  </si>
  <si>
    <t>G-12-01054</t>
  </si>
  <si>
    <t>G-12-01059</t>
  </si>
  <si>
    <t>Sto. Domingo, Nueva Ecija</t>
  </si>
  <si>
    <t>G-12-01060</t>
  </si>
  <si>
    <t>G-12-01061</t>
  </si>
  <si>
    <t>Nazareth, Cagayan de Oro City</t>
  </si>
  <si>
    <t>G-12-01063</t>
  </si>
  <si>
    <t>G-12-01072</t>
  </si>
  <si>
    <t>G-12-01082</t>
  </si>
  <si>
    <t>G-12-01083</t>
  </si>
  <si>
    <t>G-12-01089</t>
  </si>
  <si>
    <t>Realignment, SARO No. G-12-00625 dtd July 31, 2012 (DAP 3)</t>
  </si>
  <si>
    <t>G-12-01100</t>
  </si>
  <si>
    <t>Sto. Tomas, Pangasinan</t>
  </si>
  <si>
    <t>G-12-01171</t>
  </si>
  <si>
    <t>G-12-01172</t>
  </si>
  <si>
    <t>Talisay, Camarines Norte</t>
  </si>
  <si>
    <t>G-12-01173</t>
  </si>
  <si>
    <t>G-12-01174</t>
  </si>
  <si>
    <t>G-12-01175</t>
  </si>
  <si>
    <t>G-12-01190</t>
  </si>
  <si>
    <t>Quezon III</t>
  </si>
  <si>
    <t>G-12-01192</t>
  </si>
  <si>
    <t>Guimbal, Iloilo</t>
  </si>
  <si>
    <t>G-12-01193</t>
  </si>
  <si>
    <t>Siniloan, Laguna</t>
  </si>
  <si>
    <t>G-12-01195</t>
  </si>
  <si>
    <t>G-12-01196</t>
  </si>
  <si>
    <t>Realignment, G-12-00685</t>
  </si>
  <si>
    <t>G-12-01197</t>
  </si>
  <si>
    <t>Guiuan, Eastern Samar</t>
  </si>
  <si>
    <t>G-12-01201</t>
  </si>
  <si>
    <t>Pozorrubio, Pangasinan</t>
  </si>
  <si>
    <t>G-12-01205</t>
  </si>
  <si>
    <t>G-12-01206</t>
  </si>
  <si>
    <t>G-12-01210</t>
  </si>
  <si>
    <t>Various LGUs (Northern Samar I)</t>
  </si>
  <si>
    <t>G-12-01211</t>
  </si>
  <si>
    <t>Various LGUs (Camarines Sur IV)</t>
  </si>
  <si>
    <t>G-12-01215</t>
  </si>
  <si>
    <t>Mun. of Garchitorena, Cam. Sur</t>
  </si>
  <si>
    <t>Mun. of Tigaon, Cam. Sur</t>
  </si>
  <si>
    <t>Mun. of Caramoan, Cam. Sur</t>
  </si>
  <si>
    <t>Mun. of Sagñay, Cam. Sur</t>
  </si>
  <si>
    <t>Mun. of Tinambac, Cam. Sur</t>
  </si>
  <si>
    <t>Mun. of Presentacion, Cam. Sur</t>
  </si>
  <si>
    <t>G-12-01216</t>
  </si>
  <si>
    <t>G-12-01218</t>
  </si>
  <si>
    <t>Lal-lo, Cagayan</t>
  </si>
  <si>
    <t>G-12-01219</t>
  </si>
  <si>
    <t>Morong, Rizal</t>
  </si>
  <si>
    <t>G-12-01220</t>
  </si>
  <si>
    <t>Aklan</t>
  </si>
  <si>
    <t>G-12-01221</t>
  </si>
  <si>
    <t>Ronda, Cebu</t>
  </si>
  <si>
    <t>G-12-01222</t>
  </si>
  <si>
    <t>G-12-01223</t>
  </si>
  <si>
    <t>Zamboanga City, Zamboanga del Sur</t>
  </si>
  <si>
    <t>G-12-01224</t>
  </si>
  <si>
    <t>G-12-01121</t>
  </si>
  <si>
    <t>G-12-01122</t>
  </si>
  <si>
    <t>Remedios T. Remedios, Agusan del Norte</t>
  </si>
  <si>
    <t>G-12-01123</t>
  </si>
  <si>
    <t>G-12-01124</t>
  </si>
  <si>
    <t xml:space="preserve">Kitaotao, Buk </t>
  </si>
  <si>
    <t>Gingoog City</t>
  </si>
  <si>
    <t>Damulog, Buk</t>
  </si>
  <si>
    <t>Baungon, Buk</t>
  </si>
  <si>
    <t>Dangcagan, Buk</t>
  </si>
  <si>
    <t>Don Carlos, Buk</t>
  </si>
  <si>
    <t>Impasug-ong, Buk</t>
  </si>
  <si>
    <t>Kadingilan, Buk</t>
  </si>
  <si>
    <t>Kibawe, Buk</t>
  </si>
  <si>
    <t>Libona, Buk</t>
  </si>
  <si>
    <t xml:space="preserve">Malaybalay City </t>
  </si>
  <si>
    <t>Malitbog, Buk</t>
  </si>
  <si>
    <t>Manolo Fortich, Buk</t>
  </si>
  <si>
    <t>Maramag, Buk</t>
  </si>
  <si>
    <t>Quezon, Buk</t>
  </si>
  <si>
    <t>Cabanglasan, Buk</t>
  </si>
  <si>
    <t xml:space="preserve">El Salvador City </t>
  </si>
  <si>
    <t xml:space="preserve">Balingoan, Mis Or </t>
  </si>
  <si>
    <t xml:space="preserve">Claveria, Mis Or </t>
  </si>
  <si>
    <t>Initao, Mis Or</t>
  </si>
  <si>
    <t xml:space="preserve">Kinoguitan, Mis Or </t>
  </si>
  <si>
    <t xml:space="preserve">Lagonglong, Mis Or </t>
  </si>
  <si>
    <t xml:space="preserve">Magsaysay, Mis Or </t>
  </si>
  <si>
    <t>Manticao, Mis Or</t>
  </si>
  <si>
    <t xml:space="preserve">Sugbongcogon. Mis Or </t>
  </si>
  <si>
    <t>Kalilangan, Mis Or -</t>
  </si>
  <si>
    <t xml:space="preserve">Lantapan, Mis Or </t>
  </si>
  <si>
    <t xml:space="preserve">Pangantucan, Mis Or </t>
  </si>
  <si>
    <t xml:space="preserve">San Fernando, Mis Or </t>
  </si>
  <si>
    <t xml:space="preserve">Sumilao, Mis Or </t>
  </si>
  <si>
    <t xml:space="preserve">Talakag, Mis Or </t>
  </si>
  <si>
    <t xml:space="preserve">Villanueva, Mis Or </t>
  </si>
  <si>
    <t>Quirino</t>
  </si>
  <si>
    <t>G-12-01137</t>
  </si>
  <si>
    <t>Iloilo IV</t>
  </si>
  <si>
    <t>G-12-01149</t>
  </si>
  <si>
    <t>G-12-01155</t>
  </si>
  <si>
    <t>G-12-01163</t>
  </si>
  <si>
    <t>Tagudin, Ilocos Sur</t>
  </si>
  <si>
    <t>G-12-01165</t>
  </si>
  <si>
    <t>G-12-01188</t>
  </si>
  <si>
    <t>Withdrawal, SARO No. G-12-00636 dated August 3, 2012</t>
  </si>
  <si>
    <t>G-12-01287</t>
  </si>
  <si>
    <t>G-12-01288</t>
  </si>
  <si>
    <t>G-12-01296</t>
  </si>
  <si>
    <t>G-12-01298</t>
  </si>
  <si>
    <t>G-12-01306</t>
  </si>
  <si>
    <t>Various LGUs (Tarlac I)</t>
  </si>
  <si>
    <t>G-12-01307</t>
  </si>
  <si>
    <t>G-12-01315</t>
  </si>
  <si>
    <t>G-12-01337</t>
  </si>
  <si>
    <t>Brgy Poblacion, Sagay, Camiguin - P100,000</t>
  </si>
  <si>
    <t>Brgy Bonbon, Catarman, Camiguin - P100,000</t>
  </si>
  <si>
    <t>Brgy Pandan, Mambajao, Camiguin - P100,000</t>
  </si>
  <si>
    <t>Brgy Cantaan, Guinsiliban, Camiguin - P100,000</t>
  </si>
  <si>
    <t>Manolo Fortich, Buk - P 3,510,000</t>
  </si>
  <si>
    <t>Naga City</t>
  </si>
  <si>
    <t>G-12-01338</t>
  </si>
  <si>
    <t>Pitogo, Quezon</t>
  </si>
  <si>
    <t>G-12-01340</t>
  </si>
  <si>
    <t>Camarines Sur I</t>
  </si>
  <si>
    <t>G-12-01356</t>
  </si>
  <si>
    <t>Mun. of Ragay, Cam. Sur</t>
  </si>
  <si>
    <t>Mun. of Sipocot, Cam. Sur</t>
  </si>
  <si>
    <t>Mun. of Cabusao, Cam. Sur</t>
  </si>
  <si>
    <t>Gingoog City, Misamis Oriental</t>
  </si>
  <si>
    <t>G-12-01357</t>
  </si>
  <si>
    <t>Bukidnon</t>
  </si>
  <si>
    <t>G-12-01371</t>
  </si>
  <si>
    <t>Mandaue City, Cebu</t>
  </si>
  <si>
    <t>G-12-01372</t>
  </si>
  <si>
    <t>Daet, Camarines Norte</t>
  </si>
  <si>
    <t>G-12-01373</t>
  </si>
  <si>
    <t>Misamis Oriental</t>
  </si>
  <si>
    <t>G-12-01375</t>
  </si>
  <si>
    <t>Zamboanguita, Negros Oriental</t>
  </si>
  <si>
    <t>G-12-01378</t>
  </si>
  <si>
    <t>Bais, Negros Oriental</t>
  </si>
  <si>
    <t>G-12-01379</t>
  </si>
  <si>
    <t>City of Olongapo</t>
  </si>
  <si>
    <t>G-12-01380</t>
  </si>
  <si>
    <t>G-12-01384</t>
  </si>
  <si>
    <t>G-12-01395</t>
  </si>
  <si>
    <t>G-12-01397</t>
  </si>
  <si>
    <t>Brgy. Santa Rosa (Kaynatuan), Itbayat, Batanes</t>
  </si>
  <si>
    <t>Brgy. Santa Lucia (Kauhauhasan), Itbayat, Batanes</t>
  </si>
  <si>
    <t>Brgy. Santa Rafael (Idiang), Itbayat, Batanes</t>
  </si>
  <si>
    <t>Brgy. Santa Maria (Marapuy), Itbayat, Batanes</t>
  </si>
  <si>
    <t>G-12-01145</t>
  </si>
  <si>
    <t>Consolacion, Cebu</t>
  </si>
  <si>
    <t>G-12-01185</t>
  </si>
  <si>
    <t>G-12-01189</t>
  </si>
  <si>
    <t>Various LGUs (Laguna)</t>
  </si>
  <si>
    <t>G-12-01194</t>
  </si>
  <si>
    <t>G-12-01422</t>
  </si>
  <si>
    <t>G-12-01441</t>
  </si>
  <si>
    <t>G-13-00003</t>
  </si>
  <si>
    <t>Iloilo</t>
  </si>
  <si>
    <t>G-13-00004</t>
  </si>
  <si>
    <t xml:space="preserve">Ibaan, Batangas </t>
  </si>
  <si>
    <t>G-13-00006</t>
  </si>
  <si>
    <t>General Mariano Alvarez, Cavite</t>
  </si>
  <si>
    <t>G-13-00031</t>
  </si>
  <si>
    <t>G-13-00032</t>
  </si>
  <si>
    <t>G-13-00044</t>
  </si>
  <si>
    <t>Valenzuela City I</t>
  </si>
  <si>
    <t>G-13-00043</t>
  </si>
  <si>
    <t>Brgy. Nazareth, Cagayan De Oro City</t>
  </si>
  <si>
    <t>G-13-00048</t>
  </si>
  <si>
    <t>Northern Samar I</t>
  </si>
  <si>
    <t>G-13-00045</t>
  </si>
  <si>
    <t>Tagkawayan, Quezon</t>
  </si>
  <si>
    <t>G-13-00063</t>
  </si>
  <si>
    <t>G-13-00064</t>
  </si>
  <si>
    <t>G-13-00123</t>
  </si>
  <si>
    <t>Various LGUs - Tarlac</t>
  </si>
  <si>
    <t>G-13-00124</t>
  </si>
  <si>
    <t>G-13-00125</t>
  </si>
  <si>
    <t>Paniqui, Tarlac</t>
  </si>
  <si>
    <t>G-13-00126</t>
  </si>
  <si>
    <t>City of Dasmariñas, Cavite</t>
  </si>
  <si>
    <t>G-13-00128</t>
  </si>
  <si>
    <t>Plaridel, Quezon</t>
  </si>
  <si>
    <t>G-13-00129</t>
  </si>
  <si>
    <t>CIDSS - Batangas IV</t>
  </si>
  <si>
    <t>G-13-00134</t>
  </si>
  <si>
    <t>G-13-00135</t>
  </si>
  <si>
    <t>Tigaon and Sagñay, Camarines Sur</t>
  </si>
  <si>
    <t>G-13-00140</t>
  </si>
  <si>
    <t>G-13-00145</t>
  </si>
  <si>
    <t>G-13-00147</t>
  </si>
  <si>
    <t>G-13-00148</t>
  </si>
  <si>
    <t>Palauig, Zambales</t>
  </si>
  <si>
    <t>G-13-00149</t>
  </si>
  <si>
    <t>G-13-00150</t>
  </si>
  <si>
    <t>Loon, Bohol</t>
  </si>
  <si>
    <t>G-13-00160</t>
  </si>
  <si>
    <t>G-13-00163</t>
  </si>
  <si>
    <t>G-13-00165</t>
  </si>
  <si>
    <t>Batangas IV</t>
  </si>
  <si>
    <t>G-13-00169</t>
  </si>
  <si>
    <t>G-13-00171</t>
  </si>
  <si>
    <t>Various LGUs - Nueva Ecija II</t>
  </si>
  <si>
    <t>G-13-00172</t>
  </si>
  <si>
    <t>Camarines Sur</t>
  </si>
  <si>
    <t>G-13-00175</t>
  </si>
  <si>
    <t>Southern Leyte</t>
  </si>
  <si>
    <t>G-13-00176</t>
  </si>
  <si>
    <t>Sogod, Southern Leyte</t>
  </si>
  <si>
    <t>G-13-00177</t>
  </si>
  <si>
    <t>Brgy. Tebuel, Manaoag, Pangasinan</t>
  </si>
  <si>
    <t>G-13-00180</t>
  </si>
  <si>
    <t>Brgy. Sapang, Manaoag, Pangasinan</t>
  </si>
  <si>
    <t>G-13-00181</t>
  </si>
  <si>
    <t>Brgy. Lelemaan, Manaoag, Pangasinan</t>
  </si>
  <si>
    <t>G-13-00182</t>
  </si>
  <si>
    <t>Brgy. Sta. Ines, Manaoag, Pangasinan</t>
  </si>
  <si>
    <t>G-13-00183</t>
  </si>
  <si>
    <t>Brgy. Baritao, Manaoag, Pangasinan</t>
  </si>
  <si>
    <t>G-13-00184</t>
  </si>
  <si>
    <t>Brgy. Inamotan, Manaoag, Pangasinan</t>
  </si>
  <si>
    <t>G-13-00185</t>
  </si>
  <si>
    <t>Brgy. Cabanbanan, Manaoag, Pangasinan</t>
  </si>
  <si>
    <t>G-13-00186</t>
  </si>
  <si>
    <t>Brgy. Pugaro, Manaoag, Pangasinan</t>
  </si>
  <si>
    <t>G-13-00187</t>
  </si>
  <si>
    <t>Brgy. Babasit, Manaoag, Pangasinan</t>
  </si>
  <si>
    <t>G-13-00188</t>
  </si>
  <si>
    <t>Brgy. Pao, Manaoag, Pangasinan</t>
  </si>
  <si>
    <t>G-13-00189</t>
  </si>
  <si>
    <t>Brgy. Lipit Sur, Manaoag, Pangasinan</t>
  </si>
  <si>
    <t>G-13-00190</t>
  </si>
  <si>
    <t>Brgy. Mermer, Manaoag, Pangasinan</t>
  </si>
  <si>
    <t>G-13-00191</t>
  </si>
  <si>
    <t>G-13-00193</t>
  </si>
  <si>
    <t>G-13-00200</t>
  </si>
  <si>
    <t>G-13-00201</t>
  </si>
  <si>
    <t xml:space="preserve">City of Taguig </t>
  </si>
  <si>
    <t>G-13-00202</t>
  </si>
  <si>
    <t>G-13-00203</t>
  </si>
  <si>
    <t>G-13-00240</t>
  </si>
  <si>
    <t>G-13-00244</t>
  </si>
  <si>
    <t>G-13-00254</t>
  </si>
  <si>
    <t>G-13-00256</t>
  </si>
  <si>
    <t>Manolo Fortich, Bukidnon</t>
  </si>
  <si>
    <t>G-13-00258</t>
  </si>
  <si>
    <t>Cavite</t>
  </si>
  <si>
    <t>G-13-00259</t>
  </si>
  <si>
    <t>General Tinio, Nueva Ecija</t>
  </si>
  <si>
    <t>G-13-00287</t>
  </si>
  <si>
    <t>Peñaranda, Nueva Ecija</t>
  </si>
  <si>
    <t>G-13-00288</t>
  </si>
  <si>
    <t>G-13-00302</t>
  </si>
  <si>
    <t>G-13-00308</t>
  </si>
  <si>
    <t>G-13-00309</t>
  </si>
  <si>
    <t>G-13-00312</t>
  </si>
  <si>
    <t>G-13-00313</t>
  </si>
  <si>
    <t>Various LGUs - LD of Guimaras</t>
  </si>
  <si>
    <t>G-13-00395</t>
  </si>
  <si>
    <t>G-13-00402</t>
  </si>
  <si>
    <t>Alfonso, Cavite</t>
  </si>
  <si>
    <t>G-13-00404</t>
  </si>
  <si>
    <t>Fortich, Bukidnon</t>
  </si>
  <si>
    <t>G-13-00406</t>
  </si>
  <si>
    <t>Alaminos, Pangasinan</t>
  </si>
  <si>
    <t>G-13-00409</t>
  </si>
  <si>
    <t>Realignment, SARO No. G-12-00898 dated October 9, 2012</t>
  </si>
  <si>
    <t>G-13-00410</t>
  </si>
  <si>
    <t>Withdrawal, SARO No. G-13-00063 dated January 14, 2013</t>
  </si>
  <si>
    <t>G-13-00411</t>
  </si>
  <si>
    <t>G-13-00412</t>
  </si>
  <si>
    <t>Brgy. Sudlon II, Cebu City</t>
  </si>
  <si>
    <t>G-13-00430</t>
  </si>
  <si>
    <t>Realignment, SARO No. G-12-01306 dated December 13, 2012</t>
  </si>
  <si>
    <t>G-13-00480</t>
  </si>
  <si>
    <t>La Union</t>
  </si>
  <si>
    <t>G-13-00496</t>
  </si>
  <si>
    <t>G-13-00502</t>
  </si>
  <si>
    <t>G-13-00537</t>
  </si>
  <si>
    <t>G-13-00545</t>
  </si>
  <si>
    <t>G-13-00587</t>
  </si>
  <si>
    <t>Asturias, Cebu</t>
  </si>
  <si>
    <t>G-13-00590</t>
  </si>
  <si>
    <t>G-13-00608</t>
  </si>
  <si>
    <t>Eastern Samar</t>
  </si>
  <si>
    <t>G-13-00614</t>
  </si>
  <si>
    <t>G-13-00616</t>
  </si>
  <si>
    <t>G-13-00617</t>
  </si>
  <si>
    <t>G-13-00618</t>
  </si>
  <si>
    <t>Brgy. Cararayan, Naga City, CS</t>
  </si>
  <si>
    <t>Brgy. Carolina, Naga City, CS</t>
  </si>
  <si>
    <t>Brgy. Mabolo, Naga City, CS</t>
  </si>
  <si>
    <t>Brgy. Panicuason, Naga City, CS</t>
  </si>
  <si>
    <t>Brgy. San Isidro, Naga City, CS</t>
  </si>
  <si>
    <t>Brgy. Ayugan, Ocampo, CS</t>
  </si>
  <si>
    <t>Brgy. Del Rosario, Ocampo, CS</t>
  </si>
  <si>
    <t>Brgy. Guinaban, Ocampo, CS</t>
  </si>
  <si>
    <t>Brgy. Hibago, Ocampo, CS</t>
  </si>
  <si>
    <t>Brgy. Poblacion West, Ocampo, CS</t>
  </si>
  <si>
    <t>Brgy. Sta Cruz, Ocampo, CS</t>
  </si>
  <si>
    <t>Brgy. Bell (Pob.), Magarao, CS</t>
  </si>
  <si>
    <t>Brgy. Santa Rosa, Magarao, CS</t>
  </si>
  <si>
    <t>Brgy. San Mateo (Pob.), Camaligan, CS</t>
  </si>
  <si>
    <t>Brgy. Pagao (San Juan), Bombon, CS</t>
  </si>
  <si>
    <t>Brgy. San Francisco, Bombon, CS</t>
  </si>
  <si>
    <t>Brgy. San Isidro (Pob.), Bombon, CS</t>
  </si>
  <si>
    <t>Brgy. Santo Domingo, Bombon, CS</t>
  </si>
  <si>
    <t>Brgy. Siembre, Bombon, CS</t>
  </si>
  <si>
    <t>Brgy. Balombon, Calabanga, CS</t>
  </si>
  <si>
    <t>Brgy. Cagsao, Calabanga, CS</t>
  </si>
  <si>
    <t>Brgy. La Purisima, Calabanga, CS</t>
  </si>
  <si>
    <t>Brgy. Punta Tarawal, Calabanga, CS</t>
  </si>
  <si>
    <t>Brgy. Sabang, Calabanga, CS</t>
  </si>
  <si>
    <t>Brgy. San Roque, Calabanga, CS</t>
  </si>
  <si>
    <t>Brgy. San Vicente, Calabanga, CS</t>
  </si>
  <si>
    <t>Naga City, Cam. Sur</t>
  </si>
  <si>
    <t>Brgy. Concepcion Grande, Naga City, CS</t>
  </si>
  <si>
    <t>Brgy. Anayan, Pili, CS</t>
  </si>
  <si>
    <t>Brgy. Binanwaanan, Pili, CS</t>
  </si>
  <si>
    <t>Brgy. Cadlan, Pili, CS</t>
  </si>
  <si>
    <t>Brgy. Curry, Pili, CS</t>
  </si>
  <si>
    <t>Brgy. Del Rosario, Pili, CS</t>
  </si>
  <si>
    <t>Brgy. Himaao, Pili, CS</t>
  </si>
  <si>
    <t>Brgy. La Purisima, Pili, CS</t>
  </si>
  <si>
    <t>Brgy. New San Roque, Pili, CS</t>
  </si>
  <si>
    <t>Brgy. Old San Roque, Pili, CS</t>
  </si>
  <si>
    <t>Brgy. Sagrada, Pili, CS</t>
  </si>
  <si>
    <t>Brgy. San Antonio, (Pob.), Pili, CS</t>
  </si>
  <si>
    <t>Brgy. San Isidro (Pob.), Pili, CS</t>
  </si>
  <si>
    <t>Brgy. San Jose, Pili, CS</t>
  </si>
  <si>
    <t>Brgy. San Vicente (Pob.), Pili, CS</t>
  </si>
  <si>
    <t>Brgy. Santiago (Pob.), Pili, CS</t>
  </si>
  <si>
    <t>Brgy. Santo Niño, Pili, CS</t>
  </si>
  <si>
    <t>Brgy. Tagbong, Pili, CS</t>
  </si>
  <si>
    <t>Brgy. Tinangis, Pili, CS</t>
  </si>
  <si>
    <t>Brgy. Cabariwan, Ocampo, CS</t>
  </si>
  <si>
    <t>Brgy. San Francisco, Ocampo, CS</t>
  </si>
  <si>
    <t>Brgy. Santo Niño, Ocampo, CS</t>
  </si>
  <si>
    <t>Brgy. San Miguel, Magarao, CS</t>
  </si>
  <si>
    <t>Brgy. Abella, Naga City, CS</t>
  </si>
  <si>
    <t>Brgy. Bagumbayan Norte, Naga City, CS</t>
  </si>
  <si>
    <t>Brgy. Bagumbayan Sur, Naga City, CS</t>
  </si>
  <si>
    <t>Brgy. Calauag, Naga City, CS</t>
  </si>
  <si>
    <t>Brgy. Concepcion Pequenia, Naga City, CS</t>
  </si>
  <si>
    <t>Brgy. Dayangdangm Naga City, CS</t>
  </si>
  <si>
    <t>Brgy. Dinaga, Naga City, CS</t>
  </si>
  <si>
    <t>Brgy. Igualdad Interior, Naga City, CS</t>
  </si>
  <si>
    <t>Brgy. Lerma, Naga City, CS</t>
  </si>
  <si>
    <t>Brgy. Liboton, Naga City, CS</t>
  </si>
  <si>
    <t>Brgy. Peñafrancia, Naga City, CS</t>
  </si>
  <si>
    <t>Brgy. Sabang, Naga City, CS</t>
  </si>
  <si>
    <t>Brgy. San Felipe, Naga City, CS</t>
  </si>
  <si>
    <t>Brgy. San Francisco (Pob.), Naga City, CS</t>
  </si>
  <si>
    <t>Brgy. Santa Cruz, Naga City, CS</t>
  </si>
  <si>
    <t>Brgy. Tabuco, Naga City, CS</t>
  </si>
  <si>
    <t>Brgy. Tinago, Naga City, CS</t>
  </si>
  <si>
    <t>Brgy. Triangulo, Naga City, CS</t>
  </si>
  <si>
    <t>Brgy. Gatbo, Ocampo, CS</t>
  </si>
  <si>
    <t>Brgy. Hanawan, Ocampo, CS</t>
  </si>
  <si>
    <t>Brgy. New Moriones, Ocampo, CS</t>
  </si>
  <si>
    <t>Brgy. Pinit, Ocampo, CS</t>
  </si>
  <si>
    <t>Brgy. Villaflorida, Ocampo, CS</t>
  </si>
  <si>
    <t>Brgy. Carigsa, Magarao, CS</t>
  </si>
  <si>
    <t>Brgy. Monserrat (Pob.), Magarao, CS</t>
  </si>
  <si>
    <t>Brgy. Punong, Magarao, CS</t>
  </si>
  <si>
    <t>Brgy. San Francisco (Pob.), Magarao, CS</t>
  </si>
  <si>
    <t>Brgy. Santa Lucia (Pob.), Magarao, CS</t>
  </si>
  <si>
    <t>Brgy. Santo Tomas (Pob.), Magarao, CS</t>
  </si>
  <si>
    <t>Brgy. San Jose-San Pablo, Camaligan, CS</t>
  </si>
  <si>
    <t>Brgy. San Lucas, Camaligan, CS</t>
  </si>
  <si>
    <t>Brgy. San Marcos (Pob.), Camaligan, CS</t>
  </si>
  <si>
    <t>Brgy. San Roque, Camaligan, CS</t>
  </si>
  <si>
    <t>Brgy. Santo Tomas (Pob.), Camaligan, CS</t>
  </si>
  <si>
    <t>Brgy. Bigaas, Calabanga, CS</t>
  </si>
  <si>
    <t>Brgy. Binaliw, Calabanga, CS</t>
  </si>
  <si>
    <t>Brgy. Binanuaanan Pequeño, Calabanga, CS</t>
  </si>
  <si>
    <t>Brgy. Camuning, Clabanga, CS</t>
  </si>
  <si>
    <t>Brgy. Salvacion-Baybay, Calabanga, CS</t>
  </si>
  <si>
    <t>Brgy. San Antonio Poblacion, Calabanga, CS</t>
  </si>
  <si>
    <t>Brgy. San Pablo (Pob.), Calabanga, CS</t>
  </si>
  <si>
    <t>Kalinga</t>
  </si>
  <si>
    <t>G-13-00624</t>
  </si>
  <si>
    <t>G-13-00658</t>
  </si>
  <si>
    <t>G-13-00660</t>
  </si>
  <si>
    <t>G-13-00661</t>
  </si>
  <si>
    <t>G-13-00662</t>
  </si>
  <si>
    <t>Oton, Iloilo</t>
  </si>
  <si>
    <t>G-13-00663</t>
  </si>
  <si>
    <t>City of Calbayog</t>
  </si>
  <si>
    <t>G-13-00679</t>
  </si>
  <si>
    <t>G-13-00687</t>
  </si>
  <si>
    <t>G-13-00691</t>
  </si>
  <si>
    <t>1. Isulan, Sultan Kudarat</t>
  </si>
  <si>
    <t>2. Kalamansig, Sultan Kudarat</t>
  </si>
  <si>
    <t>3. Lebak, Sultan Kudarat</t>
  </si>
  <si>
    <t>4. Senator Ninoy Aquino, Sultan Kudarat</t>
  </si>
  <si>
    <t>5. Bagumbayan, Sultan Kudarat</t>
  </si>
  <si>
    <t>6. Palimbang, Sultan Kudarat</t>
  </si>
  <si>
    <t>7. Tacurong City, Sultan Kudarat</t>
  </si>
  <si>
    <t>Various LGUs -Iloilo</t>
  </si>
  <si>
    <t>G-13-00692</t>
  </si>
  <si>
    <t>Aloguinsan, Cebu</t>
  </si>
  <si>
    <t>G-13-00696</t>
  </si>
  <si>
    <t>Albay</t>
  </si>
  <si>
    <t>G-13-00699</t>
  </si>
  <si>
    <t>Brgy. Baclayon, Bacacay, Albay</t>
  </si>
  <si>
    <t>Brgy. 4 (Pob.), Bacacay, Albay</t>
  </si>
  <si>
    <t>Brgy. 5 (Pob.), Bacacay, Albay</t>
  </si>
  <si>
    <t>Brgy. 9 (Pob.), Bacacay, Albay</t>
  </si>
  <si>
    <t>Brgy. Bayandong, Bacacay, Albay</t>
  </si>
  <si>
    <t>Brgy. Bonga (Upper), Bacacay, Albay</t>
  </si>
  <si>
    <t>Brgy. Buang, Bacacay, Albay</t>
  </si>
  <si>
    <t>Brgy. Cagbulacao, Bacacay, Albay</t>
  </si>
  <si>
    <t>Brgy. Cajogutan, Bacacay, Albay</t>
  </si>
  <si>
    <t>Brgy. Damacan, Bacacay, Albay</t>
  </si>
  <si>
    <t>Brgy. Gubat Iraya, Bacacay, Albay</t>
  </si>
  <si>
    <t>Brgy. Hindi, Bacacay, Albay</t>
  </si>
  <si>
    <t>Brgy. Manaet, Bacacay, Albay</t>
  </si>
  <si>
    <t>Brgy. Mataas, Bacacay, Albay</t>
  </si>
  <si>
    <t>Brgy. Namanday, Bacacay, Albay</t>
  </si>
  <si>
    <t>Brgy. Napao, Bacacay, Albay</t>
  </si>
  <si>
    <t>Brgy. Panarayon, Bacacay, Albay</t>
  </si>
  <si>
    <t>Brgy. Pigcobohan, Bacacay, Albay</t>
  </si>
  <si>
    <t>Brgy. San Pedro, Bacacay, Albay</t>
  </si>
  <si>
    <t>Brgy. Sogod, Bacacay, Albay</t>
  </si>
  <si>
    <t>Brgy. Tambogon (Tambilagao), Bacacay, Albay</t>
  </si>
  <si>
    <t>Brgy. Tanagan, Bacacay, Albay</t>
  </si>
  <si>
    <t>Brgy. Vinisitahan-Napao (Island), Bacacay, Albay</t>
  </si>
  <si>
    <t>Brgy. 12 (Pob.), Bacacay, Albay</t>
  </si>
  <si>
    <t>Brgy. 14 (Pob.), Bacacay, Albay</t>
  </si>
  <si>
    <t>Brgy. Bariw, Bacacay, Albay</t>
  </si>
  <si>
    <t>Brgy. Basud, Bacacay, Albay</t>
  </si>
  <si>
    <t>Brgy. Cabasan, Bacacay, Albay</t>
  </si>
  <si>
    <t>Brgy. Cawayan, Bacacay, Albay</t>
  </si>
  <si>
    <t>Brgy. Igang, Bacacay, Albay</t>
  </si>
  <si>
    <t>Brgy. Tambilagao (Tambogon), Bacacay, Albay</t>
  </si>
  <si>
    <t>G-13-00700</t>
  </si>
  <si>
    <t>Zamboanga del Norte</t>
  </si>
  <si>
    <t>G-13-00706</t>
  </si>
  <si>
    <t>Masbate</t>
  </si>
  <si>
    <t>G-13-00707</t>
  </si>
  <si>
    <t>Brgy. Burgos, Batuan, Masbate</t>
  </si>
  <si>
    <t>Brgy. Rizal, Batuan, Masbate</t>
  </si>
  <si>
    <t>Brgy. Mabini, San Jacinto, Masbate</t>
  </si>
  <si>
    <t>Brgy. Cantora, Monreal, Masbate</t>
  </si>
  <si>
    <t>Brgy. Santi Niño, Monreal, Masbate</t>
  </si>
  <si>
    <t>Brgy. Guinhadap, Monreal, Masbate</t>
  </si>
  <si>
    <t>Brgy. Togoron, Monreal, Masbate</t>
  </si>
  <si>
    <t>Brgy. Macarthur, Monreal, Masbate</t>
  </si>
  <si>
    <t>Brgy. Poblacion District I (Brgy. 1), Claveria, Masbate</t>
  </si>
  <si>
    <t>Brgy. Mabiton, Claveria, Masbate</t>
  </si>
  <si>
    <t>Brgy. San Ramon, Claveria, Masbate</t>
  </si>
  <si>
    <t>Brgy. Nonoc, Claveria, Masbate</t>
  </si>
  <si>
    <t>Brgy. Cawayan, Claveria, Masbate</t>
  </si>
  <si>
    <t>Brgy. Albasan, Claveria, Masbate</t>
  </si>
  <si>
    <t>Brgy. Nabasagan, Claveria, Masbate</t>
  </si>
  <si>
    <t>Brgy. Manapao, Claveria, Masbate</t>
  </si>
  <si>
    <t>Brgy. Osmeña, Claveria, Masbate</t>
  </si>
  <si>
    <t>Brgy. San Isidro, Claveria, Masbate</t>
  </si>
  <si>
    <t>Brgy. Boca Engano, Claveria, Masbate</t>
  </si>
  <si>
    <t>Brgy. Canomay, Claveria, Masbate</t>
  </si>
  <si>
    <t>Brgy. Calpi, Claveria, Masbate</t>
  </si>
  <si>
    <t>Brgy. Mababang Baybay, Claveria, Masbate</t>
  </si>
  <si>
    <t>Brgy. Pasig, Claveria, Masbate</t>
  </si>
  <si>
    <t>Brgy. Peñafrancia, Claveria, Masbate</t>
  </si>
  <si>
    <t>Brgy. San Vicente, Claveria, Masbate</t>
  </si>
  <si>
    <t>Brgy. Imelda, Claveria, Masbate</t>
  </si>
  <si>
    <t>Brgy. Buyo, Claveria, Masbate</t>
  </si>
  <si>
    <t>Brgy. Quezon, Claveria, Masbate</t>
  </si>
  <si>
    <t>Brgy. Sowa, Claveria, Masbate</t>
  </si>
  <si>
    <t>Brgy. Talisay, San Fernando, Masbate</t>
  </si>
  <si>
    <t>Brgy. Buenavista, San Fernando, Masbate</t>
  </si>
  <si>
    <t>Brgy. Progreso, San Fernando, Masbate</t>
  </si>
  <si>
    <t>Brgy. Del Rosario, San Fernando, Masbate</t>
  </si>
  <si>
    <t>Brgy. Terraplin (Pob.), San Pascual, Masbate</t>
  </si>
  <si>
    <t>City of Manila</t>
  </si>
  <si>
    <t>G-13-00709</t>
  </si>
  <si>
    <t>G-13-00728</t>
  </si>
  <si>
    <t>G-13-00729</t>
  </si>
  <si>
    <t>Camiguin</t>
  </si>
  <si>
    <t>G-13-00730</t>
  </si>
  <si>
    <t>Brgy Poblacion, Sagay, Camiguin</t>
  </si>
  <si>
    <t>Brgy Bonbon, Catarman, Camiguin</t>
  </si>
  <si>
    <t>Brgy Pandan, Mambajao, Camiguin</t>
  </si>
  <si>
    <t xml:space="preserve">Brgy Cantaan, Guinsiliban, Camiguin </t>
  </si>
  <si>
    <t>G-13-00731</t>
  </si>
  <si>
    <t>G-13-00735</t>
  </si>
  <si>
    <t>RO13</t>
  </si>
  <si>
    <t>City of Butuan</t>
  </si>
  <si>
    <t>G-13-00741</t>
  </si>
  <si>
    <t>G-13-00746</t>
  </si>
  <si>
    <t>Liliw, Laguna</t>
  </si>
  <si>
    <t>G-13-00757</t>
  </si>
  <si>
    <t>G-13-00758</t>
  </si>
  <si>
    <t>G-13-00760</t>
  </si>
  <si>
    <t>Manila City</t>
  </si>
  <si>
    <t>G-13-00849</t>
  </si>
  <si>
    <t>G-13-00856</t>
  </si>
  <si>
    <t>Morong, Bataan</t>
  </si>
  <si>
    <t>G-13-00863</t>
  </si>
  <si>
    <t>Catbalogan City</t>
  </si>
  <si>
    <t>G-13-00864</t>
  </si>
  <si>
    <t>Surigao del Norte</t>
  </si>
  <si>
    <t>G-13-00865</t>
  </si>
  <si>
    <t>G-13-00868</t>
  </si>
  <si>
    <t>Brgy. Pinamoghaan, San Fernando, Masbate</t>
  </si>
  <si>
    <t>Brgy. Lumbia, San Fernando, Masbate</t>
  </si>
  <si>
    <t>Brgy. Valparaiso, San Fernando, Masbate</t>
  </si>
  <si>
    <t>Larena, Siquijor</t>
  </si>
  <si>
    <t>G-13-00871</t>
  </si>
  <si>
    <t>G-13-00872</t>
  </si>
  <si>
    <t>G-13-00873</t>
  </si>
  <si>
    <t>G-13-00877</t>
  </si>
  <si>
    <t>G-13-00879</t>
  </si>
  <si>
    <t>Cebu</t>
  </si>
  <si>
    <t>G-13-00882</t>
  </si>
  <si>
    <t>Laguna</t>
  </si>
  <si>
    <t>G-13-00883</t>
  </si>
  <si>
    <t>San Miguel, Iloilo</t>
  </si>
  <si>
    <t>G-13-00885</t>
  </si>
  <si>
    <t>RP 8</t>
  </si>
  <si>
    <t>G-13-00911</t>
  </si>
  <si>
    <t>G-13-00918</t>
  </si>
  <si>
    <t>City of Alaminos</t>
  </si>
  <si>
    <t>G-13-00919</t>
  </si>
  <si>
    <t>G-13-00929</t>
  </si>
  <si>
    <t>G-13-00940</t>
  </si>
  <si>
    <t>Cabuyao City, Laguna</t>
  </si>
  <si>
    <t>G-13-00941</t>
  </si>
  <si>
    <t>Caloocan City</t>
  </si>
  <si>
    <t>G-13-00942</t>
  </si>
  <si>
    <t>Withdrawal, SARO No. G-13-00409 dated February 14, 2013</t>
  </si>
  <si>
    <t>G-13-00996</t>
  </si>
  <si>
    <t>Realignment, SARO NO. G-12-00719 dated  August 24, 2012</t>
  </si>
  <si>
    <t>G-13-01002</t>
  </si>
  <si>
    <t>G-13-01010</t>
  </si>
  <si>
    <t>Realignment, SARO NO. G-12-01175 dated  December 07, 2012</t>
  </si>
  <si>
    <t>G-13-01054</t>
  </si>
  <si>
    <t>G-13-01042</t>
  </si>
  <si>
    <t>Withdrawal, SARO No. G-13-00244 dated January 31, 2013</t>
  </si>
  <si>
    <t>G-13-01101</t>
  </si>
  <si>
    <t>Realignment, SARO No. G-13-00502 dated February 27, 2013</t>
  </si>
  <si>
    <t>G-13-01109</t>
  </si>
  <si>
    <t>Various LGUs - Northern Samar</t>
  </si>
  <si>
    <t>G-13-01092</t>
  </si>
  <si>
    <t>Rosario, Cavite</t>
  </si>
  <si>
    <t>G-13-01111</t>
  </si>
  <si>
    <t>G-13-01112</t>
  </si>
  <si>
    <t>Withdrawal, SARO No. G-13-00919 dated March 25, 2013</t>
  </si>
  <si>
    <t>G-13-01116</t>
  </si>
  <si>
    <t xml:space="preserve">City Government of Zamboanga </t>
  </si>
  <si>
    <t>G-13-01118</t>
  </si>
  <si>
    <t>G-13-01128</t>
  </si>
  <si>
    <t>Withdrawal, SARO NO. G-12-00945 dated October 18, 2012</t>
  </si>
  <si>
    <t>G-13-01135</t>
  </si>
  <si>
    <t>G-13-01139</t>
  </si>
  <si>
    <t>G-13-01141</t>
  </si>
  <si>
    <t>Rizal I</t>
  </si>
  <si>
    <t>G-13-01153</t>
  </si>
  <si>
    <t>Withdrawal, SARO No. G-12-01222 dated December 07, 2013</t>
  </si>
  <si>
    <t>G-13-01149</t>
  </si>
  <si>
    <t>Madrid, Surigao del Sur</t>
  </si>
  <si>
    <t>G-13-01150</t>
  </si>
  <si>
    <t>Withdrawal, SARO NO. G-12-00722 dated August 28, 2012</t>
  </si>
  <si>
    <t>G-13-01154</t>
  </si>
  <si>
    <t>Greenhills, San Juan City</t>
  </si>
  <si>
    <t>G-13-01162</t>
  </si>
  <si>
    <t>G-13-01163</t>
  </si>
  <si>
    <t xml:space="preserve">Ballesteros, Cagayan </t>
  </si>
  <si>
    <t>G-13-01164</t>
  </si>
  <si>
    <t>Anao, Tarlac</t>
  </si>
  <si>
    <t>G-13-01165</t>
  </si>
  <si>
    <t>City Government of Tagaytay</t>
  </si>
  <si>
    <t>Lagonoy, Camarines Sur</t>
  </si>
  <si>
    <t>Realignment, SARO No. G-13-00741 dated March 15, 2013</t>
  </si>
  <si>
    <t>G-13-01187</t>
  </si>
  <si>
    <t>G-12-00527</t>
  </si>
  <si>
    <t>G-12-00530</t>
  </si>
  <si>
    <t>Presentacion, Camarines Sur</t>
  </si>
  <si>
    <t>G-12-00533</t>
  </si>
  <si>
    <t>G-12-00650</t>
  </si>
  <si>
    <t>G-12-00712</t>
  </si>
  <si>
    <t>G-12-01071</t>
  </si>
  <si>
    <t>G-12-01232</t>
  </si>
  <si>
    <t>G-12-01297</t>
  </si>
  <si>
    <t>G-12-01402</t>
  </si>
  <si>
    <t>G-12-00588</t>
  </si>
  <si>
    <t>awaiting submission of pertinent reports from the agency</t>
  </si>
  <si>
    <t>G-12-00643</t>
  </si>
  <si>
    <t>G-12-00651</t>
  </si>
  <si>
    <t>G-12-00670</t>
  </si>
  <si>
    <t>G-12-00679</t>
  </si>
  <si>
    <t>G-12-00711</t>
  </si>
  <si>
    <t>G-12-00964</t>
  </si>
  <si>
    <t>G-12-01020</t>
  </si>
  <si>
    <t>G-12-01042</t>
  </si>
  <si>
    <t>G-12-01260</t>
  </si>
  <si>
    <t>G-12-01198</t>
  </si>
  <si>
    <t>G-12-01214</t>
  </si>
  <si>
    <t>G-12-01229</t>
  </si>
  <si>
    <t>G-12-01143</t>
  </si>
  <si>
    <t>G-12-01177</t>
  </si>
  <si>
    <t>G-12-01433</t>
  </si>
  <si>
    <t>G-13-00041</t>
  </si>
  <si>
    <t>G-13-00060</t>
  </si>
  <si>
    <t>G-13-00119</t>
  </si>
  <si>
    <t>G-13-00137</t>
  </si>
  <si>
    <t>G-13-00243</t>
  </si>
  <si>
    <t>G-13-00448</t>
  </si>
  <si>
    <t>G-13-00654</t>
  </si>
  <si>
    <t>G-13-01001</t>
  </si>
  <si>
    <t>G-12-00532</t>
  </si>
  <si>
    <t>G-12-00589</t>
  </si>
  <si>
    <t>RA 10155, p. 1296</t>
  </si>
  <si>
    <t>G-12-00623</t>
  </si>
  <si>
    <t>G-12-00644</t>
  </si>
  <si>
    <t>G-12-00710</t>
  </si>
  <si>
    <t>G-12-01057</t>
  </si>
  <si>
    <t>G-12-01231</t>
  </si>
  <si>
    <t>G-12-01179</t>
  </si>
  <si>
    <t>G-13-00040</t>
  </si>
  <si>
    <t>G-12-00590</t>
  </si>
  <si>
    <t>571 GL</t>
  </si>
  <si>
    <t>G-12-00599</t>
  </si>
  <si>
    <t>G-12-00622</t>
  </si>
  <si>
    <t>G-12-00642</t>
  </si>
  <si>
    <t>462 GL</t>
  </si>
  <si>
    <t>G-12-00652</t>
  </si>
  <si>
    <t>G-12-00663</t>
  </si>
  <si>
    <t>30 GL</t>
  </si>
  <si>
    <t>G-12-00669</t>
  </si>
  <si>
    <t>20 GL</t>
  </si>
  <si>
    <t>G-12-00678</t>
  </si>
  <si>
    <t>G-12-00713</t>
  </si>
  <si>
    <t>17 GL</t>
  </si>
  <si>
    <t>G-12-00965</t>
  </si>
  <si>
    <t>G-12-00970</t>
  </si>
  <si>
    <t>15 GL</t>
  </si>
  <si>
    <t>G-12-01043</t>
  </si>
  <si>
    <t>64 GL</t>
  </si>
  <si>
    <t>G-12-01070</t>
  </si>
  <si>
    <t>757 GL</t>
  </si>
  <si>
    <t>G-12-01199</t>
  </si>
  <si>
    <t>1,447 GL</t>
  </si>
  <si>
    <t>G-12-01228</t>
  </si>
  <si>
    <t>661 GL</t>
  </si>
  <si>
    <t>G-12-01156</t>
  </si>
  <si>
    <t>28 GL</t>
  </si>
  <si>
    <t>G-12-01142</t>
  </si>
  <si>
    <t>8 GL</t>
  </si>
  <si>
    <t>G-12-01178</t>
  </si>
  <si>
    <t>85 GL</t>
  </si>
  <si>
    <t>G-13-00039</t>
  </si>
  <si>
    <t>604 GL</t>
  </si>
  <si>
    <t>G-13-00133</t>
  </si>
  <si>
    <t>11 GL</t>
  </si>
  <si>
    <t>G-13-00655</t>
  </si>
  <si>
    <t xml:space="preserve"> Financial assistance for National Health Insurance Program</t>
  </si>
  <si>
    <t>G-12-00733</t>
  </si>
  <si>
    <t xml:space="preserve"> Financial assistance to cover insurance premiums</t>
  </si>
  <si>
    <t>G-12-00771</t>
  </si>
  <si>
    <t>G-12-00961</t>
  </si>
  <si>
    <t>G-12-01266</t>
  </si>
  <si>
    <t>G-12-01154</t>
  </si>
  <si>
    <t>G-12-01305</t>
  </si>
  <si>
    <t>G-12-01308</t>
  </si>
  <si>
    <t>G-13-00168</t>
  </si>
  <si>
    <t>G-13-00178</t>
  </si>
  <si>
    <t>G-13-00397</t>
  </si>
  <si>
    <t>G-13-00686</t>
  </si>
  <si>
    <t>G-13-00727</t>
  </si>
  <si>
    <t>G-13-01102</t>
  </si>
  <si>
    <t>A.I.a - General Administration &amp; Support Services</t>
  </si>
  <si>
    <t>E-12-00690</t>
  </si>
  <si>
    <t>RA 10155 p. 28</t>
  </si>
  <si>
    <t>B-12-00627</t>
  </si>
  <si>
    <t>COP</t>
  </si>
  <si>
    <t>D-12-00544</t>
  </si>
  <si>
    <t>DAP 1 - per OP approval dated October 12, 2011</t>
  </si>
  <si>
    <t>G-12-01101</t>
  </si>
  <si>
    <t>G-12-01102</t>
  </si>
  <si>
    <t xml:space="preserve">  Scholarship Program</t>
  </si>
  <si>
    <t>B-12-01393</t>
  </si>
  <si>
    <t>added - Nov.26,2013</t>
  </si>
  <si>
    <t>A-13-00425</t>
  </si>
  <si>
    <t>*ADJUSTED 09DEC13</t>
  </si>
  <si>
    <t>A-13-00414 to 
A-13-00424</t>
  </si>
  <si>
    <t>PROJECT NAME</t>
  </si>
  <si>
    <t xml:space="preserve">RA 9970 </t>
  </si>
  <si>
    <t>LEGAL BASIS</t>
  </si>
  <si>
    <t>LEGAL
BASIS</t>
  </si>
  <si>
    <t>DEFICIENCY
(per OP approval)</t>
  </si>
  <si>
    <t>SOURCES OF FUND</t>
  </si>
  <si>
    <t>DAP 2 - OP Approval dated December 21, 2011</t>
  </si>
  <si>
    <t>DEFICIENCY (per OP approval)</t>
  </si>
  <si>
    <t>DAP 5 - OP approval - December 21, 2012</t>
  </si>
  <si>
    <t>DAP 6 - OP Approval dated June 14, 2013</t>
  </si>
  <si>
    <t>Integration of School for Ivatan Living Tradition in School Curriculum</t>
  </si>
  <si>
    <t>RA 10352 p. 115</t>
  </si>
  <si>
    <t>FSLGU</t>
  </si>
  <si>
    <t xml:space="preserve">  Community-Based Housing Restoration Program</t>
  </si>
  <si>
    <t>B-13-01348</t>
  </si>
  <si>
    <t>A-13-01281</t>
  </si>
  <si>
    <t>A-13-01299</t>
  </si>
  <si>
    <t>B-13-01353</t>
  </si>
  <si>
    <t>G-13-01300</t>
  </si>
  <si>
    <t>G-13-01301</t>
  </si>
  <si>
    <t>G-13-01302</t>
  </si>
  <si>
    <t>G-13-01345</t>
  </si>
  <si>
    <t>G-13-01349</t>
  </si>
  <si>
    <t>G-13-01350</t>
  </si>
  <si>
    <t>G-13-01351</t>
  </si>
  <si>
    <t>G-13-01352</t>
  </si>
  <si>
    <t>RA 10352, p. 1427</t>
  </si>
  <si>
    <t>RA 10352, p. 1273</t>
  </si>
  <si>
    <t>LWUA</t>
  </si>
  <si>
    <t>NDA</t>
  </si>
  <si>
    <t>NIA</t>
  </si>
  <si>
    <t>PCA</t>
  </si>
  <si>
    <t>PCED</t>
  </si>
  <si>
    <t>Additional Subsidy - construction of building</t>
  </si>
  <si>
    <t>TIEZA</t>
  </si>
  <si>
    <t>CAAP</t>
  </si>
  <si>
    <t xml:space="preserve">  Calamity Related Rehabilitation Restoration Project and Other
   Priority Projects</t>
  </si>
  <si>
    <t>Rehabilitation and Restoration of Water Supply Equipment in
 Calamity Affected Areas</t>
  </si>
  <si>
    <t>Calamity Related Rehabilitation Restoration Project and Other
 Priority Projects</t>
  </si>
  <si>
    <t>F-13-01321</t>
  </si>
  <si>
    <t>F-13-01317</t>
  </si>
  <si>
    <t>F-13-01320</t>
  </si>
  <si>
    <t>F-13-01319</t>
  </si>
  <si>
    <t>F-13-01318</t>
  </si>
  <si>
    <t>F-13-01326</t>
  </si>
  <si>
    <t>F-13-01322</t>
  </si>
  <si>
    <t>RA 10352, p. 1417</t>
  </si>
  <si>
    <t xml:space="preserve">Municipality of Palo,Leyte </t>
  </si>
  <si>
    <t xml:space="preserve">City of Davao </t>
  </si>
  <si>
    <t xml:space="preserve">Municipality of Manaoag, Pangasinan </t>
  </si>
  <si>
    <t xml:space="preserve">Municipality of Santa Fe, Cebu </t>
  </si>
  <si>
    <t xml:space="preserve">Municipality of Lemery, Iloilo </t>
  </si>
  <si>
    <t xml:space="preserve">Municipality of Mayorga, Leyte </t>
  </si>
  <si>
    <t xml:space="preserve">Municipality of Javier, Leyte </t>
  </si>
  <si>
    <t>Disbursement Acceleration Program (DAP)</t>
  </si>
  <si>
    <t>B-13-00869</t>
  </si>
  <si>
    <t>F-11-02079</t>
  </si>
  <si>
    <t>E-12-00223</t>
  </si>
  <si>
    <t>E-12-00364</t>
  </si>
  <si>
    <t>E-12-00468</t>
  </si>
  <si>
    <t>adjustments - jan14</t>
  </si>
  <si>
    <t xml:space="preserve">DAR </t>
  </si>
  <si>
    <t>Provincial Local Government Unit Community Driven Development Projects</t>
  </si>
  <si>
    <t>B-13-01347</t>
  </si>
  <si>
    <t>B-11-02168</t>
  </si>
  <si>
    <t>GRAND TOTAL - DAP 2</t>
  </si>
  <si>
    <t>GRAND TOTAL - DAP 3</t>
  </si>
  <si>
    <t>GRAND TOTAL - DAP 4</t>
  </si>
  <si>
    <t>GRAND TOTAL - DAP 5</t>
  </si>
  <si>
    <t>GRAND TOTAL - DAP 6</t>
  </si>
  <si>
    <t>Out of 318 projects, 309 are completed (96%) and 9 are on-going</t>
  </si>
  <si>
    <t>Out of 155 projects, 153 are completed (98% complete); 
2 projects are on-going</t>
  </si>
  <si>
    <t>Out of 27 projects, 23 projects are completed (94% complete); 4 projects are on-going</t>
  </si>
  <si>
    <t>Out of 109 projects, 100 projects are completed (95% complete); 
9 are on-going</t>
  </si>
  <si>
    <t>Out of 62 projects, 41 are completed (67% complete); 18 projects are on-going; 3 projects not yet started</t>
  </si>
  <si>
    <t>Out of 49 projects, 28 projects are completed (75% complete); 21 projects are on-going</t>
  </si>
  <si>
    <t>Out of 5 projects, only one (1) is completed (38% complete); 
4 projects are on-going</t>
  </si>
  <si>
    <t>Out of 24 projects, 19 projects are completed (79% complete); 
2 projects are on-going; 
3 projects not yet started</t>
  </si>
  <si>
    <t>1.</t>
  </si>
  <si>
    <t>2.</t>
  </si>
  <si>
    <t>3.</t>
  </si>
  <si>
    <t>4.</t>
  </si>
  <si>
    <t xml:space="preserve">Housing for the BFP, BJMP </t>
  </si>
  <si>
    <t>5-year Housing Program for families living along danger areas in Metro Manila</t>
  </si>
  <si>
    <t>North Triangle Relocation Project</t>
  </si>
  <si>
    <t>5.</t>
  </si>
  <si>
    <t>P/A/P</t>
  </si>
  <si>
    <t>Code</t>
  </si>
  <si>
    <t>Description</t>
  </si>
  <si>
    <t>6.</t>
  </si>
  <si>
    <t>Resettlement, relocation and Housing projects</t>
  </si>
  <si>
    <t>7.</t>
  </si>
  <si>
    <t>Establishment of  a centralized credit information center</t>
  </si>
  <si>
    <t>8.</t>
  </si>
  <si>
    <t>Financial support for the purchase of lot and/or construction for new office building</t>
  </si>
  <si>
    <t>PIDS</t>
  </si>
  <si>
    <t>9.</t>
  </si>
  <si>
    <t>10.</t>
  </si>
  <si>
    <t>Equity Infusion for HGC's  credit insurance/operations</t>
  </si>
  <si>
    <t>HGC</t>
  </si>
  <si>
    <t>11.</t>
  </si>
  <si>
    <t>Equity Infusion as partial payment out of P50B capitalization</t>
  </si>
  <si>
    <t>BSP</t>
  </si>
  <si>
    <t>NG counterpart for subsidy of indigent families (July-Dec. 2010)</t>
  </si>
  <si>
    <t>12.</t>
  </si>
  <si>
    <t>13.</t>
  </si>
  <si>
    <t>Building renovation/upgrading/expansion of medical equipment</t>
  </si>
  <si>
    <t>14.</t>
  </si>
  <si>
    <t>Bio-Regenerative Technology Program</t>
  </si>
  <si>
    <t>Pediatric Pulmonary Prog.</t>
  </si>
  <si>
    <t>15.</t>
  </si>
  <si>
    <t>16.</t>
  </si>
  <si>
    <t>NPSTAR, Centralization of data processing and others</t>
  </si>
  <si>
    <t>17.</t>
  </si>
  <si>
    <t>Additional requirements of the TACP</t>
  </si>
  <si>
    <t>IT Infrastructure Program and hiring of addditional litigation experts</t>
  </si>
  <si>
    <t>18.</t>
  </si>
  <si>
    <t>19.</t>
  </si>
  <si>
    <t>20.</t>
  </si>
  <si>
    <t>Additional requirements for the construction/repair/rehabilitation of irrigation facilities in Banaue Rice Terraces, Province of Ifugao</t>
  </si>
  <si>
    <t>21.</t>
  </si>
  <si>
    <t>22.</t>
  </si>
  <si>
    <t>23.</t>
  </si>
  <si>
    <t>25.</t>
  </si>
  <si>
    <t>Registry System for Basic Sectors in Agriculture Project</t>
  </si>
  <si>
    <t>26.</t>
  </si>
  <si>
    <t>Operating requirements to augment the prosecution function</t>
  </si>
  <si>
    <t>Training of investigation agents and equipment requirements</t>
  </si>
  <si>
    <t>27.</t>
  </si>
  <si>
    <t>28.</t>
  </si>
  <si>
    <t xml:space="preserve"> Activities for Peace Process under the PAMANA Program</t>
  </si>
  <si>
    <t>29.</t>
  </si>
  <si>
    <t>30.</t>
  </si>
  <si>
    <t>31.</t>
  </si>
  <si>
    <t>32.</t>
  </si>
  <si>
    <t>33.</t>
  </si>
  <si>
    <t>34.</t>
  </si>
  <si>
    <t>35.</t>
  </si>
  <si>
    <t>36.</t>
  </si>
  <si>
    <t>37.</t>
  </si>
  <si>
    <t>38.</t>
  </si>
  <si>
    <t>39.</t>
  </si>
  <si>
    <t>40.</t>
  </si>
  <si>
    <t>41.</t>
  </si>
  <si>
    <t>42.</t>
  </si>
  <si>
    <t>24.</t>
  </si>
  <si>
    <t>DAR-Landowners' Compensation</t>
  </si>
  <si>
    <t>Rest of Budgetary Support to GOCCs</t>
  </si>
  <si>
    <t xml:space="preserve">A.1 </t>
  </si>
  <si>
    <t>Resettlement Program</t>
  </si>
  <si>
    <t xml:space="preserve">A.1.a.1 </t>
  </si>
  <si>
    <t>A.1.a.1</t>
  </si>
  <si>
    <t>NG support for the PPC Reform Program</t>
  </si>
  <si>
    <t>Credit Insurance and Mortagage Guarantee operations</t>
  </si>
  <si>
    <t xml:space="preserve">A.I.a.1  </t>
  </si>
  <si>
    <t xml:space="preserve">A.I </t>
  </si>
  <si>
    <t xml:space="preserve">Increased in inventory/supplies by the various offices; and replaced and installed airconditioning units and other equipment in various National Prosecution Services (NPS) offices </t>
  </si>
  <si>
    <t>Conducted one (1) Basic training course for 29 Investigative Agents I</t>
  </si>
  <si>
    <t>Acquisition of the following:
32 sets of desk computer with 5 printers, 2 Laptops, 2 Projectors, set of routers, 3 Photocopying machines, construction of drainage system, set of server, 39 units of caliber .40 pistol, set of desk tables and computer tables and chairs for the NBI academy to be used for training purposes</t>
  </si>
  <si>
    <t>Reverted to National Treasury due to insufficient funding requirements for the purpose</t>
  </si>
  <si>
    <t>RA 10155, p. 614</t>
  </si>
  <si>
    <t>145 scholars</t>
  </si>
  <si>
    <t>The fund were released to the LGU for implementation. We requested the LGU to submit a status report of the project/s implementation. As of this time, we have not received their report.</t>
  </si>
  <si>
    <t>Implemented P234,900. Balance P115,100.00</t>
  </si>
  <si>
    <t>Rehabilitation of Park Phase 1 completed</t>
  </si>
  <si>
    <t>Improvement of Suyo Proper Farm-to-Market Road (concreting) completed last July 23, 2012</t>
  </si>
  <si>
    <t>Contruction of Wet Market - Annex has completed</t>
  </si>
  <si>
    <t>Project completed</t>
  </si>
  <si>
    <t>Project is 100% completed</t>
  </si>
  <si>
    <t>Disbursed for medical assistance (drugs and medicines, medical, dental and laboratory supplies</t>
  </si>
  <si>
    <t>completed per program</t>
  </si>
  <si>
    <t>implemented and completed in September 2012</t>
  </si>
  <si>
    <t>implemented and completed in 2012</t>
  </si>
  <si>
    <t>implemented and completed in August 2012</t>
  </si>
  <si>
    <t>implemented and completed in 2013</t>
  </si>
  <si>
    <t>100% completed</t>
  </si>
  <si>
    <t>The funds were released to the LGU for implementation. We requested the LGU to submit a status report of the project/s implementation. As of this time, we have not received their report.</t>
  </si>
  <si>
    <t>RA 10155, p. 2</t>
  </si>
  <si>
    <t>School Building in PSU Alaminos City Campus</t>
  </si>
  <si>
    <t>Market Annex Phase ( Implemented and completed)</t>
  </si>
  <si>
    <t xml:space="preserve"> 1000 scholars</t>
  </si>
  <si>
    <t>838 students</t>
  </si>
  <si>
    <t>No disbursements/project was stopped/suspended due to SC decision on DAP</t>
  </si>
  <si>
    <t>87.31% amount disbursed but project was stopped/suspended due to SC decision on DAP</t>
  </si>
  <si>
    <t>Implemented (Balance P145.21)</t>
  </si>
  <si>
    <t>100% Utilized</t>
  </si>
  <si>
    <t>AGUSAN DEL NORTE</t>
  </si>
  <si>
    <t>MUNICIPALITIES</t>
  </si>
  <si>
    <t>Buenavista</t>
  </si>
  <si>
    <t>Carmen</t>
  </si>
  <si>
    <t>Jabonga</t>
  </si>
  <si>
    <t>Kitcharao</t>
  </si>
  <si>
    <t>Las Nieves</t>
  </si>
  <si>
    <t>Magallanes</t>
  </si>
  <si>
    <t>Nasipit</t>
  </si>
  <si>
    <t>Remedios Romualdez</t>
  </si>
  <si>
    <t>Santiago</t>
  </si>
  <si>
    <t>Tubay</t>
  </si>
  <si>
    <t>AGUSAN DEL SUR</t>
  </si>
  <si>
    <t>Bunawan</t>
  </si>
  <si>
    <t>Esperanza</t>
  </si>
  <si>
    <t>La Paz</t>
  </si>
  <si>
    <t>Loreto</t>
  </si>
  <si>
    <t>Prosperidad</t>
  </si>
  <si>
    <t>Rosario</t>
  </si>
  <si>
    <t>San Francisco</t>
  </si>
  <si>
    <t>San Luis</t>
  </si>
  <si>
    <t>Sibagat</t>
  </si>
  <si>
    <t>Sta. Josefa</t>
  </si>
  <si>
    <t>Talacogon</t>
  </si>
  <si>
    <t>Trento</t>
  </si>
  <si>
    <t>Veruela</t>
  </si>
  <si>
    <t>SURIGAO DEL SUR</t>
  </si>
  <si>
    <t>Barobo</t>
  </si>
  <si>
    <t>Bayabas</t>
  </si>
  <si>
    <t>Cagwait</t>
  </si>
  <si>
    <t>Cantilan</t>
  </si>
  <si>
    <t>Carrascal</t>
  </si>
  <si>
    <t>Cortes</t>
  </si>
  <si>
    <t>Hinatuan</t>
  </si>
  <si>
    <t>Lanuza</t>
  </si>
  <si>
    <t>Lianga</t>
  </si>
  <si>
    <t>Madrid</t>
  </si>
  <si>
    <t>Marihatag</t>
  </si>
  <si>
    <t>San Agustin</t>
  </si>
  <si>
    <t>San Miguel</t>
  </si>
  <si>
    <t>Tagbina</t>
  </si>
  <si>
    <t>Tago</t>
  </si>
  <si>
    <t>Bislig City</t>
  </si>
  <si>
    <t>SURIGAO DEL NORTE</t>
  </si>
  <si>
    <t>Alegria</t>
  </si>
  <si>
    <t>Bacuag</t>
  </si>
  <si>
    <t>Burgos</t>
  </si>
  <si>
    <t>Claver</t>
  </si>
  <si>
    <t>Dapa</t>
  </si>
  <si>
    <t>Del Carmen</t>
  </si>
  <si>
    <t>General Luna</t>
  </si>
  <si>
    <t>Gigaquit</t>
  </si>
  <si>
    <t>Mainit</t>
  </si>
  <si>
    <t>Malimono</t>
  </si>
  <si>
    <t>Pilar</t>
  </si>
  <si>
    <t>Placer</t>
  </si>
  <si>
    <t>San Benito</t>
  </si>
  <si>
    <t>San Francisco (Anao-aon)</t>
  </si>
  <si>
    <t>San Isidro</t>
  </si>
  <si>
    <t>Santa Monica (Sapao)</t>
  </si>
  <si>
    <t>Sison</t>
  </si>
  <si>
    <t>Socorro</t>
  </si>
  <si>
    <t>Tagana-an</t>
  </si>
  <si>
    <t>Tubod</t>
  </si>
  <si>
    <t>Basilisa</t>
  </si>
  <si>
    <t>Cagdianao</t>
  </si>
  <si>
    <t>Dinagat</t>
  </si>
  <si>
    <t>Libjo (Albor)</t>
  </si>
  <si>
    <t>San Jose</t>
  </si>
  <si>
    <t>Tubajon</t>
  </si>
  <si>
    <t>Surigao City</t>
  </si>
  <si>
    <t>Project completed on FY 2012 (Rehabilitation of Tagbayagan Creek)</t>
  </si>
  <si>
    <t>Project completed on FY 2012 (NRJ Consuelo Road)</t>
  </si>
  <si>
    <t>Project not yet implemented</t>
  </si>
  <si>
    <t>Project implemnted</t>
  </si>
  <si>
    <t>90% completed</t>
  </si>
  <si>
    <t>69.27% amount disburesed but project was stopped/suspended due to SC decision on DAP</t>
  </si>
  <si>
    <t>100% project implemented and liquidated</t>
  </si>
  <si>
    <t>100% utilized but not yet fully liquidated (project on-going)</t>
  </si>
  <si>
    <t>Project implemented and compeleted (Balance P2,511,244.21-still unclaimed)</t>
  </si>
  <si>
    <t>Constructed two (2) Units 2-Storey 1-Door Officers' Apartment at Fernando Air Base, Lipa City, Batangas and Basa Air Base, Floridablanca, Pampanga and procured CEIS equipment. Project 100% completed</t>
  </si>
  <si>
    <t>Some projects were already completed; funds for the procurement of IT equipment in the amount of P7.1M have already been transferred to PS-DBM</t>
  </si>
  <si>
    <t>238 patients</t>
  </si>
  <si>
    <t>47 patients</t>
  </si>
  <si>
    <t>(not received)</t>
  </si>
  <si>
    <t>1,462 patient beneficiaries</t>
  </si>
  <si>
    <t>with actual report of disbursement but without report of measurable outputs for (Evacuation Shelter Constructed)</t>
  </si>
  <si>
    <t xml:space="preserve">8737 N. H. </t>
  </si>
  <si>
    <t>130.7 LM concrete dike and deepening of river channel</t>
  </si>
  <si>
    <t>Supply and Placement of 626 cu. M of 50 to 100 kgs rocks and 505 cu.m of 1000 kgs rocks</t>
  </si>
  <si>
    <t>various F-M-R rehabilitated- 5,000 sq.m</t>
  </si>
  <si>
    <t>Drugs and medicines procured</t>
  </si>
  <si>
    <t>health assistance- purchase of medicine</t>
  </si>
  <si>
    <t>114.35 LM concrete dike and deepening of river channel</t>
  </si>
  <si>
    <t>with actual report of disbursement but without measurable actual output for (Road Constructed 100% accomplished)</t>
  </si>
  <si>
    <t>1) Comun water system 2) Bagumbayan Irrigation Hospital 3) Streetlights at Balza, Cabunturan, Burabod</t>
  </si>
  <si>
    <t>Constructed 3.00 meters high by 65 meters length reinforced concrete flood control</t>
  </si>
  <si>
    <t>1 unit STP (50 cu. M capacity) and replacement of slaughter roofing house; partial const. of Albay public market; 20 road sections @ 98 LM/ section, L=1,960.00 lm</t>
  </si>
  <si>
    <t>Concreting/Upgrading of Abella-Maonon Road PCCP Total Volume= 3,223.45 cu.m; line canal= 3,211.80 m aditional 1 unit one barred RCPC 1 unit 2 barred RCPC, 1 unit 5 barrel RCPC</t>
  </si>
  <si>
    <t>Construction of Municicpal Health Center (Phase II)</t>
  </si>
  <si>
    <t>construction of RHU III (PHASE I, at Brgy Lag-on- 100%</t>
  </si>
  <si>
    <t>Concreting of Malasugui FMR March 29, 2012</t>
  </si>
  <si>
    <t>5.0 x .15 m x 75 m concreting of FMR</t>
  </si>
  <si>
    <t>extension of powerline P-3 at Brgy San Isidro, fmr concreting at Brgy. Sto. Niño, asphalting of roads at Brgy. Calintaan</t>
  </si>
  <si>
    <t xml:space="preserve">2 storey building constructed </t>
  </si>
  <si>
    <t>309.44sq. M open canal</t>
  </si>
  <si>
    <t>construction of drainage system at valdemoro st. Poblacion- August, 2012.</t>
  </si>
  <si>
    <t>FMR Constructed</t>
  </si>
  <si>
    <t>DRRM Evacuation and Storage Building</t>
  </si>
  <si>
    <t>Construction/Opening and concreting of new road pathway of Carcaran to Villahermosa</t>
  </si>
  <si>
    <t>160 m x 4 m Brgy. Tulusan Road concreted</t>
  </si>
  <si>
    <t>697 LM</t>
  </si>
  <si>
    <t>Drainage system constructed</t>
  </si>
  <si>
    <t>purchase 1 semi automatic biochem analyzer- 400,000.00 and and construction of microwater shed for women- micro-enterprise- 200,000.00</t>
  </si>
  <si>
    <t>Construction of Livelihood training center- San gustin, Pili, CS 100% complete</t>
  </si>
  <si>
    <t>410 meters</t>
  </si>
  <si>
    <t>Road concrete pavement, cobcrete line canal, slope protection works, MRF site preparation, leachat and storm drain filter</t>
  </si>
  <si>
    <t>construction of municipal food terminal (Bagsakan Center)</t>
  </si>
  <si>
    <t>6m x 8m Daycare Center with instructional materials, etc.</t>
  </si>
  <si>
    <t>one 125KVA generator, handheld radios w/ base and repeater</t>
  </si>
  <si>
    <t>1 unit Daycare Center constructed</t>
  </si>
  <si>
    <t>FMR Constructed- 110 METERS Brgy San Atonio to Brgy 4</t>
  </si>
  <si>
    <t>CONSTRUCTION/REHAB OF PUBLIC MARKET- CONSTRUCTION OF STALLS/FLORR/SEPTIC TANK/PAINTING OF WHOLE BUILDING</t>
  </si>
  <si>
    <t>Construction of waterworks system- Brgy Masalong - May 24, 2013</t>
  </si>
  <si>
    <t>700 (6-35 mos. Old under weight  pre-school children; 2500 underweight school children)</t>
  </si>
  <si>
    <t>1 unit ambulance purchased</t>
  </si>
  <si>
    <t>CIDS-AICS program</t>
  </si>
  <si>
    <t>CIDSS-AICS programs</t>
  </si>
  <si>
    <t>Educational assistance for (tuition fees) 20 college students, 65 high school, 8 elementary, school supplies for 69 Daycare children for two Daycare</t>
  </si>
  <si>
    <t>Multipurpose Center Rehabilitated</t>
  </si>
  <si>
    <t>Brgy Road Concreted</t>
  </si>
  <si>
    <t>Drainage canal constructed at Purok 2</t>
  </si>
  <si>
    <t>Pathway constructed</t>
  </si>
  <si>
    <t>4 m x 6 m Brgy. Hall extention completed</t>
  </si>
  <si>
    <t>Improvement of drainaged canal with cover</t>
  </si>
  <si>
    <t>141.5 meters of pathway concreted at Purok 6 &amp; 7</t>
  </si>
  <si>
    <t>note:</t>
  </si>
  <si>
    <t>PA</t>
  </si>
  <si>
    <t>To support the Closure Program with Cordillera Bodong Administration-Cordillera People's Liberation Army (CBA-CPLA)</t>
  </si>
  <si>
    <t>A.III.a.1 - Operation and maintenance of combat units, including P44,000,000 for Confidential and Intelligence Expenses</t>
  </si>
  <si>
    <t>D-13-00681</t>
  </si>
  <si>
    <t>Overall Savings</t>
  </si>
  <si>
    <t>The remaining 168 members of CPLA have already been integrated in the AFP, in accordance with EO 49. Purpose fulfilled.</t>
  </si>
  <si>
    <t>123 graduating students</t>
  </si>
  <si>
    <t>112 scholars</t>
  </si>
  <si>
    <t>2 students</t>
  </si>
  <si>
    <t>D-11-01822</t>
  </si>
  <si>
    <t>Realignment: OSEC - Civil Society Organization/People's Participation Partnership Program</t>
  </si>
  <si>
    <t>35 projects were completed while 37 projects are still on-going</t>
  </si>
  <si>
    <t>Repair and construction of 13 projects (public markets, municipal centers and water supply) are 50% completed</t>
  </si>
  <si>
    <t>Construction of fire stations and acquisition of fire trucks are in the bidding process</t>
  </si>
  <si>
    <t>Rehabilitated the following city/municipal jails: Marawi City, Wao, Upi, Parang, Jolo and Bongao</t>
  </si>
  <si>
    <t>Construction on-going</t>
  </si>
  <si>
    <t>Bidding process</t>
  </si>
  <si>
    <t>No report yet from implementing unit</t>
  </si>
  <si>
    <t>60% completed while the remaining 40% are either for delivery and/or for evaluation</t>
  </si>
  <si>
    <t>10 projects completed, 15 projects are on-going and 4 projects are in the bidding process</t>
  </si>
  <si>
    <t>30% construction ongoing</t>
  </si>
  <si>
    <t>34 MVs and 4 motorcycles were already procured/acquired</t>
  </si>
  <si>
    <t>Construction ongoing</t>
  </si>
  <si>
    <t>24 projects have been completed, 45 projects are on-going and 1 project is in the process of complying with administrative requirements</t>
  </si>
  <si>
    <t>43.</t>
  </si>
  <si>
    <t>National Disaster Risk, Exposure, Assessment and Mitigation (DREAM)</t>
  </si>
  <si>
    <t>44.</t>
  </si>
  <si>
    <t>Jalaur River Multipurpose Project</t>
  </si>
  <si>
    <t>45.</t>
  </si>
  <si>
    <t>Solid Waste Disposal Project</t>
  </si>
  <si>
    <t>46.</t>
  </si>
  <si>
    <t>47.</t>
  </si>
  <si>
    <t>48.</t>
  </si>
  <si>
    <t>49.</t>
  </si>
  <si>
    <t>50.</t>
  </si>
  <si>
    <t>PNP Maritime Group Training Facility</t>
  </si>
  <si>
    <t>Construction of the PNP Crisis Action Force Bldg.</t>
  </si>
  <si>
    <t>Repair of Road Network inside Camp Bagong Diwa, Taguig</t>
  </si>
  <si>
    <t>51.</t>
  </si>
  <si>
    <t>Restoration and Rehabilitation of Various Historical and State Rooms in the Malacañang Palace</t>
  </si>
  <si>
    <t>65.</t>
  </si>
  <si>
    <t>Special Capacity Building Project for People's and NGOs</t>
  </si>
  <si>
    <t>52.</t>
  </si>
  <si>
    <t>53.</t>
  </si>
  <si>
    <t>LGUs - Other Various Local Projects</t>
  </si>
  <si>
    <t>54.</t>
  </si>
  <si>
    <t>Payment of ROW Claims, Nationwide</t>
  </si>
  <si>
    <t>55.</t>
  </si>
  <si>
    <t>Incentive of Personnel affected by Rationalization Program</t>
  </si>
  <si>
    <t>56.</t>
  </si>
  <si>
    <t xml:space="preserve"> Additional Funds for MOOE of PNP Regional Offices/PNP Stations</t>
  </si>
  <si>
    <t>57.</t>
  </si>
  <si>
    <t>Institutional Capacity Building</t>
  </si>
  <si>
    <t>58.</t>
  </si>
  <si>
    <t>Grants-in-Aid program for poverty alleviation</t>
  </si>
  <si>
    <t>59.</t>
  </si>
  <si>
    <t>60.</t>
  </si>
  <si>
    <t>Infrastructure Upgrade and Development Program</t>
  </si>
  <si>
    <t>61.</t>
  </si>
  <si>
    <t>Establishment of the Advanced Failure Analysis Laboratory</t>
  </si>
  <si>
    <t>62.</t>
  </si>
  <si>
    <t>Harmonization of National Government Performance Monitorting and Reporting Systems</t>
  </si>
  <si>
    <t>63.</t>
  </si>
  <si>
    <t>64.</t>
  </si>
  <si>
    <t>Malacañang Security and Communication Plan</t>
  </si>
  <si>
    <t>Modernizing HE facilities (included in DPWH - Various Infra release of P3,059,400 above)</t>
  </si>
  <si>
    <t>Permanent Maguiling Bridge Project (included in DPWH - Various Infra release of P145,000 above)</t>
  </si>
  <si>
    <t>66.</t>
  </si>
  <si>
    <t>National Road Projects in the Province of Tarlac</t>
  </si>
  <si>
    <t>Capability Requirements for the Operations of PCG  in the West Philippine Sea</t>
  </si>
  <si>
    <t>67.</t>
  </si>
  <si>
    <t>68.</t>
  </si>
  <si>
    <t>Re-acquisition of Air Rights sold by PNR to HGC</t>
  </si>
  <si>
    <t>69.</t>
  </si>
  <si>
    <t>Tulay ng Pangulo sa Kaunlaran Pang-Agraryo (French Bridge)</t>
  </si>
  <si>
    <t>Facility for credit, insurance and guarantee exclusively  for Agrarian Reform Beneficiaries (ARBs) which will be managed by the Land Bank of the Philippines (LBP), in coordination with DA</t>
  </si>
  <si>
    <t>70.</t>
  </si>
  <si>
    <t>Tourism Road Infrastructure Project</t>
  </si>
  <si>
    <t>71.</t>
  </si>
  <si>
    <t>GSIS Premium Payments for DepEd personnel</t>
  </si>
  <si>
    <t>72.</t>
  </si>
  <si>
    <t>73.</t>
  </si>
  <si>
    <t>Rehabilitation/Extension of LRT Lines 1 and 2</t>
  </si>
  <si>
    <t>74.</t>
  </si>
  <si>
    <t>75.</t>
  </si>
  <si>
    <t>Construction and Rehabilitation of Rural Health Units</t>
  </si>
  <si>
    <t xml:space="preserve">Expanded Government Internship Program </t>
  </si>
  <si>
    <t>76.</t>
  </si>
  <si>
    <t>77.</t>
  </si>
  <si>
    <t>Rural Electrification for Barangay and Sitios</t>
  </si>
  <si>
    <t>Construction of the Legislative Library and Archive Building/Congressional E-library</t>
  </si>
  <si>
    <t>78.</t>
  </si>
  <si>
    <t>DOLE's Capacity Enhancement to meet Labor Standards Requirement</t>
  </si>
  <si>
    <t>79.</t>
  </si>
  <si>
    <t>Emergency Repairs for the Corregidor North Dock</t>
  </si>
  <si>
    <t>80.</t>
  </si>
  <si>
    <t>DILG-Central Office to a new NAPOLCOM Building</t>
  </si>
  <si>
    <t>81.</t>
  </si>
  <si>
    <t>Construction of twenty (20) PNP Police Stations</t>
  </si>
  <si>
    <t>82.</t>
  </si>
  <si>
    <t>High Profile Jail Facility</t>
  </si>
  <si>
    <t>83.</t>
  </si>
  <si>
    <t>Replacement of thirty-four (34) dilapidated units and four (4) motorcycles of the DILG-NPC</t>
  </si>
  <si>
    <t>84.</t>
  </si>
  <si>
    <t>Transfer of DOT offices and its affected attached agencies</t>
  </si>
  <si>
    <t>85.</t>
  </si>
  <si>
    <t>Financial Support for the Gat Bonifacio Shrine and Eco-Tourism Park</t>
  </si>
  <si>
    <t>86.</t>
  </si>
  <si>
    <t>Expanded Training for Work Scholarship</t>
  </si>
  <si>
    <t>87.</t>
  </si>
  <si>
    <t>People's Television Network, Inc. Funding Support for   Operational Requirements</t>
  </si>
  <si>
    <t>88.</t>
  </si>
  <si>
    <t>89.</t>
  </si>
  <si>
    <t>90.</t>
  </si>
  <si>
    <t>Re-acquisition of Air Rights sold by PNR to Home Guaranty Corporation</t>
  </si>
  <si>
    <t xml:space="preserve">Release of funds for the Sitio Electrification Project </t>
  </si>
  <si>
    <t>BSGC-NEA</t>
  </si>
  <si>
    <t>Additional MOOE for Patrol Operations at Bajo de Masinloc</t>
  </si>
  <si>
    <t>91.</t>
  </si>
  <si>
    <t>Detailed engineering studies of Goldenberg Mansion and Teus House, Malacañang</t>
  </si>
  <si>
    <t>92.</t>
  </si>
  <si>
    <t>Rehabilitation of the Watson Building near Malacañang</t>
  </si>
  <si>
    <t>93.</t>
  </si>
  <si>
    <t>Registry System for Basic Sectors in Agriculture Batch 2</t>
  </si>
  <si>
    <t>94.</t>
  </si>
  <si>
    <t>Kilometer Zero - National Monument Hardscape and Softscape Redevelopment Project</t>
  </si>
  <si>
    <t>95.</t>
  </si>
  <si>
    <t>96.</t>
  </si>
  <si>
    <t>Budget Deficit for the Secondary National Road Project of Millennium Challenge Account-Phil (MCA-P) under the Compact between the Us Govt and the GPH</t>
  </si>
  <si>
    <t>97.</t>
  </si>
  <si>
    <t>Local Governance Performance Management Program - Performance-Based Challenge Fund for LGUs</t>
  </si>
  <si>
    <t>98.</t>
  </si>
  <si>
    <t>99.</t>
  </si>
  <si>
    <t>100.</t>
  </si>
  <si>
    <t>101.</t>
  </si>
  <si>
    <t xml:space="preserve"> Various infrastructure Improvement Projects</t>
  </si>
  <si>
    <t>102.</t>
  </si>
  <si>
    <t>103.</t>
  </si>
  <si>
    <t>Payapa at Masaganang PamayaNAn Program (PAMANA)</t>
  </si>
  <si>
    <t>104.</t>
  </si>
  <si>
    <t>Additional Equity Infusion to the BSP's authorized capital</t>
  </si>
  <si>
    <t>105.</t>
  </si>
  <si>
    <t>Philippine Digitization Fund (PDF)</t>
  </si>
  <si>
    <t>106.</t>
  </si>
  <si>
    <t>Public-Private Partnership (PPP) for School Infrastructure Project Phase II (PSIP-II)</t>
  </si>
  <si>
    <t>107.</t>
  </si>
  <si>
    <t>Provision for the Mechanical Dryers</t>
  </si>
  <si>
    <t>108.</t>
  </si>
  <si>
    <t>109.</t>
  </si>
  <si>
    <t>Kilometer Zero-National Monument Hardscape and Softscape Redevelopment Project</t>
  </si>
  <si>
    <t>Repair and Maintenance and Police Supplies</t>
  </si>
  <si>
    <t>110.</t>
  </si>
  <si>
    <t>Mission Essential Equipment</t>
  </si>
  <si>
    <t>112.</t>
  </si>
  <si>
    <t>111.</t>
  </si>
  <si>
    <t>113.</t>
  </si>
  <si>
    <t>Roxas Boulevard Redevelopment Plan</t>
  </si>
  <si>
    <t>114.</t>
  </si>
  <si>
    <t>GOP Counterpart for KALAHI-CIDSS (KC) Millenium Challenge Corporation (MCC) Grant</t>
  </si>
  <si>
    <t>115.</t>
  </si>
  <si>
    <t>Pilot Testing of Enhanced Provincial LGU Engagement for National Community Driven Development Project</t>
  </si>
  <si>
    <t>116.</t>
  </si>
  <si>
    <t>Hiring of 7,439 NUPs effective September 1, 2013</t>
  </si>
  <si>
    <t>E-11-01956</t>
  </si>
  <si>
    <t>E-11-01955</t>
  </si>
  <si>
    <t>E-11-01954</t>
  </si>
  <si>
    <t xml:space="preserve"> General Management and Supervision</t>
  </si>
  <si>
    <t>A.I.a</t>
  </si>
  <si>
    <t>Tax Administration Computerization Project</t>
  </si>
  <si>
    <t>Enforcement of Internal Revenue Laws</t>
  </si>
  <si>
    <t xml:space="preserve">A.III.a.1 </t>
  </si>
  <si>
    <t>General Administration and Support</t>
  </si>
  <si>
    <t xml:space="preserve">A.I.a.1 </t>
  </si>
  <si>
    <t xml:space="preserve">Service Support Activities
</t>
  </si>
  <si>
    <t xml:space="preserve">A.II.a.2 </t>
  </si>
  <si>
    <t>Air and Ground Combat Services</t>
  </si>
  <si>
    <t xml:space="preserve"> A.III.a.1 </t>
  </si>
  <si>
    <t>A.III.a.3</t>
  </si>
  <si>
    <t>Combat Support Services</t>
  </si>
  <si>
    <t>Territorial Defense Activities</t>
  </si>
  <si>
    <t xml:space="preserve">A.III.b.1 </t>
  </si>
  <si>
    <t>Construction/Repair/Rehab of New/Existing NIA-Assisted Irrigation Systems (CRRNENIAAIS)</t>
  </si>
  <si>
    <t>B.I.a.37</t>
  </si>
  <si>
    <t>Construction/Repair/Rehab of New/Existing NIA-Assisted Irrigation Systems (CRRNENIAAIS) Nationwide</t>
  </si>
  <si>
    <t xml:space="preserve">B.I.a.37 </t>
  </si>
  <si>
    <t>National Fisheries Program</t>
  </si>
  <si>
    <t>Repair/Rehabilitation and Construction of Farm-to-Market Roads in the Designated Key Areas (Department of Agriculture's P/AP)</t>
  </si>
  <si>
    <t xml:space="preserve">B.I.b </t>
  </si>
  <si>
    <t>Repair/Rehabilitation &amp; Construction of Farm to Market Roads in the designated Key Production Areas</t>
  </si>
  <si>
    <t>Agno River Integrated Irrigation Project, Pangasinan
Loan Proceeds</t>
  </si>
  <si>
    <t xml:space="preserve">B.II.h.2 
B.II.h.2.$2 </t>
  </si>
  <si>
    <t xml:space="preserve">A.V </t>
  </si>
  <si>
    <t>Locally Funded Projects</t>
  </si>
  <si>
    <t xml:space="preserve">B.1 </t>
  </si>
  <si>
    <t>General Administration and Support Services</t>
  </si>
  <si>
    <t>Maintenance and operational requirements for special legal services</t>
  </si>
  <si>
    <t>Investigation and detection of crimes and other related activities</t>
  </si>
  <si>
    <t>Office of the Presidential Adviser on the Peace Process including the requirements for the GRP - MILF activities amounting to P 100,000,000</t>
  </si>
  <si>
    <t>Operation and maintenance of meteorological data banks, including the provision of processed agro-climatological information</t>
  </si>
  <si>
    <t xml:space="preserve">A.II.a.1 </t>
  </si>
  <si>
    <t>Operation and maintenance of Weather Surveillance Radar Network</t>
  </si>
  <si>
    <t xml:space="preserve">A.III.b.3 </t>
  </si>
  <si>
    <t>Examination and appraisal of imports for the proper imposition of duties and taxes, including assistance in the tax collection system established under LOI no, 497</t>
  </si>
  <si>
    <t xml:space="preserve">A.III.a.1  </t>
  </si>
  <si>
    <t>Payments of Right-Of-Way (ROW) and Contractual Obligations</t>
  </si>
  <si>
    <t xml:space="preserve">B.I.e </t>
  </si>
  <si>
    <t>Disaster Related Projects</t>
  </si>
  <si>
    <t xml:space="preserve">B.I.g </t>
  </si>
  <si>
    <t>Various Infrastucture including Local Projects</t>
  </si>
  <si>
    <t xml:space="preserve">B.I.h </t>
  </si>
  <si>
    <t>Generation of new knowledge and technologies and research capability building in priority areas identified as strategic to National Development</t>
  </si>
  <si>
    <t xml:space="preserve">A.III.a.01.a </t>
  </si>
  <si>
    <t xml:space="preserve">A.I.a.01 </t>
  </si>
  <si>
    <t>Implementation of the Doctors to the Barrios and Rural Health Practice Program</t>
  </si>
  <si>
    <t xml:space="preserve">A.II.c.4 </t>
  </si>
  <si>
    <t>Training for work scholarship program (TWSP)</t>
  </si>
  <si>
    <t>Local Governance Performance Management Program - Performance-Based Challenge Fund for Local Government Units</t>
  </si>
  <si>
    <t xml:space="preserve">A.III.c </t>
  </si>
  <si>
    <t xml:space="preserve">B.I.c </t>
  </si>
  <si>
    <t>National Corn Program</t>
  </si>
  <si>
    <t xml:space="preserve">A.III.a.12.a </t>
  </si>
  <si>
    <t xml:space="preserve"> National High Value Commercial Crops Program</t>
  </si>
  <si>
    <t>A.III.a.16.a</t>
  </si>
  <si>
    <t>National Livestock Program</t>
  </si>
  <si>
    <t xml:space="preserve">A.III.b.6.a </t>
  </si>
  <si>
    <t>Repair Rehabilitation Construction of Farm to Market Roads in the designated key production areas</t>
  </si>
  <si>
    <t>Forest Development</t>
  </si>
  <si>
    <t xml:space="preserve">A.III.a.02.a </t>
  </si>
  <si>
    <t>Health Facilities Enhancement Program</t>
  </si>
  <si>
    <t xml:space="preserve">A.III.b.6.c </t>
  </si>
  <si>
    <t xml:space="preserve">CO - Implementation of the Transition and Investment Support Plan in the ARMM for the upgrading of hospital facilities </t>
  </si>
  <si>
    <t>No NCA Issued</t>
  </si>
  <si>
    <t>No output</t>
  </si>
  <si>
    <t>6,112 charity in-patient</t>
  </si>
  <si>
    <t xml:space="preserve">108 Scholars, P9,200 each for 2 semesters and admin cost </t>
  </si>
  <si>
    <t>1st Sem SY 2012-2013 - 80 Scholars P6,250 each; 2nd Sem SY 2012-2013 - 80 Scholars P6,250 each</t>
  </si>
  <si>
    <t>12,412, charity in patients</t>
  </si>
  <si>
    <t>Municipality of Abucay, Bataan</t>
  </si>
  <si>
    <t>Municipality of Bagac, Bataan</t>
  </si>
  <si>
    <t>Municipality of Dinalupihan, Bataan</t>
  </si>
  <si>
    <t>Municipality of Hermosa, Bataan</t>
  </si>
  <si>
    <t>Municipality of Limay, Bataan</t>
  </si>
  <si>
    <t>Municipality of Mariveles, Bataan</t>
  </si>
  <si>
    <t>Municipality of Morong, Bataan</t>
  </si>
  <si>
    <t>Municipality of Orani, Bataan</t>
  </si>
  <si>
    <t>Municipality of Orion, Bataan</t>
  </si>
  <si>
    <t>Municipality of Pilar, Bataan</t>
  </si>
  <si>
    <t>Municipality of Samal, Bataan</t>
  </si>
  <si>
    <t>Municipality of Aliaga, NE</t>
  </si>
  <si>
    <t>Municipality of Bongabon, NE</t>
  </si>
  <si>
    <t>Municipality of Cabiao, NE</t>
  </si>
  <si>
    <t>Municipality of Carrangalan, NE</t>
  </si>
  <si>
    <t>Municipality of Cuyapo, NE</t>
  </si>
  <si>
    <t>Municipality Gabaldon, NE</t>
  </si>
  <si>
    <t>Municipality of Gen. Tinio, NE</t>
  </si>
  <si>
    <t>Municipality of Guimba, NE</t>
  </si>
  <si>
    <t>Municipality of Jaen, NE</t>
  </si>
  <si>
    <t>Municipality of Laur, NE</t>
  </si>
  <si>
    <t>Municipality of Licab, NE</t>
  </si>
  <si>
    <t>Municipality of Llanera, NE</t>
  </si>
  <si>
    <t>Municipality of Lupao, NE</t>
  </si>
  <si>
    <t>Municipality of Nampicuan, NE</t>
  </si>
  <si>
    <t>Municipality of Pantabangan, NE</t>
  </si>
  <si>
    <t>Municipality of Penaranda, NE</t>
  </si>
  <si>
    <t>Municipality of Quezon, NE</t>
  </si>
  <si>
    <t>Municipality of Rizal, NE</t>
  </si>
  <si>
    <t>Municipality of San Antonio, NE</t>
  </si>
  <si>
    <t>Municipality of San Isidro, NE</t>
  </si>
  <si>
    <t>Municipality of San Leonardo, NE</t>
  </si>
  <si>
    <t>Municipality of Sta. Rosa, NE</t>
  </si>
  <si>
    <t>Municipality of Sto. Domingo, NE</t>
  </si>
  <si>
    <t>Municipality of Talavera, NE</t>
  </si>
  <si>
    <t>Municipality of Talugtug, NE</t>
  </si>
  <si>
    <t>Municipality of Zaragosa, NE</t>
  </si>
  <si>
    <t>Municipality of Apalit, Pamp</t>
  </si>
  <si>
    <t>Municipality of Arayat, Pamp</t>
  </si>
  <si>
    <t>Municipality of Bacolor, Pamp</t>
  </si>
  <si>
    <t>Municipality of Candaba, Pamp</t>
  </si>
  <si>
    <t>Municipality of Floridablanca, Pamp</t>
  </si>
  <si>
    <t>Municipality of Guagua, Pamp</t>
  </si>
  <si>
    <t>Municipality of Lubao, Pamp</t>
  </si>
  <si>
    <t>Municipality of Mabalacat, Pamp</t>
  </si>
  <si>
    <t>Municipality of Macabebe, Pamp</t>
  </si>
  <si>
    <t>Municipality of Magalang, Pamp</t>
  </si>
  <si>
    <t>Municipality of Masantol, Pamp</t>
  </si>
  <si>
    <t>Municipality of Mexico, Pamp</t>
  </si>
  <si>
    <t>Municipality of Minalin, Pamp</t>
  </si>
  <si>
    <t>Municipality of Porac, Pamp</t>
  </si>
  <si>
    <t>Municipality of San Luis, Pamp</t>
  </si>
  <si>
    <t>Municipality of San Simon, Pamp</t>
  </si>
  <si>
    <t>Municipality of Sta. Ana, Pamp</t>
  </si>
  <si>
    <t>Municipality of Sta. Rita, Pamp</t>
  </si>
  <si>
    <t>Municipality of Sto. Tomas, Pamp</t>
  </si>
  <si>
    <t>Municipality of Sasmuan, Pamp</t>
  </si>
  <si>
    <t>Municipality of Anao, Tarlac</t>
  </si>
  <si>
    <t>Municipality of Bamban, Tarlac</t>
  </si>
  <si>
    <t>Municipality of Camiling, Tarlac</t>
  </si>
  <si>
    <t>Municipality of Capas, Tarlac</t>
  </si>
  <si>
    <t>Municipality of Concepcion, Tarlac</t>
  </si>
  <si>
    <t>Municipality of Gerona, Tarlac</t>
  </si>
  <si>
    <t>Municipality of La Paz, Tarlac</t>
  </si>
  <si>
    <t>Municipality of Mayantoc, Tarlac</t>
  </si>
  <si>
    <t>Municipality of Moncada, Tarlac</t>
  </si>
  <si>
    <t>Municipality of Paniqui, Tarlac</t>
  </si>
  <si>
    <t>Municipality of Pura, Tarlac</t>
  </si>
  <si>
    <t>Municipality of Ramos, Tarlac</t>
  </si>
  <si>
    <t>Municipality of San Clemente, Tarlac</t>
  </si>
  <si>
    <t>Municipality of San Jose, Tarlac</t>
  </si>
  <si>
    <t>Municipality of San Manuel, Tarlac</t>
  </si>
  <si>
    <t>Municipality of Sta. Ignacia, Tarlac</t>
  </si>
  <si>
    <t>Municipality of Victoria, Tarlac</t>
  </si>
  <si>
    <t>Municipality of Botolan, Zambales</t>
  </si>
  <si>
    <t>Municipality of Cabangan, Zambales</t>
  </si>
  <si>
    <t>Municipality of Candelaria, Zambales</t>
  </si>
  <si>
    <t>Municipality of Castillejos, Zambales</t>
  </si>
  <si>
    <t>Municipality of Iba, Zambales</t>
  </si>
  <si>
    <t>Municipality of Masinloc, Zambales</t>
  </si>
  <si>
    <t>Mu of Palauig, Zambales</t>
  </si>
  <si>
    <t>Municipality of San Antonio, Zambales</t>
  </si>
  <si>
    <t>Municipality of San Felipe, Zambales</t>
  </si>
  <si>
    <t>Municipality of San Marcelino, Zambales</t>
  </si>
  <si>
    <t>Municipality of San Naciso, Zambales</t>
  </si>
  <si>
    <t>Municipality of Sta. Cruz, Zambales</t>
  </si>
  <si>
    <t>Municipality of Subic, Zambales</t>
  </si>
  <si>
    <t>Construction/Repair/Rehabilitation/Renovation of Public Market</t>
  </si>
  <si>
    <t>Sta. Maria, Bulacan</t>
  </si>
  <si>
    <t>Floridablanca, Pampanga</t>
  </si>
  <si>
    <t>Porac, Pampanga</t>
  </si>
  <si>
    <t>San Felipe, Zambales</t>
  </si>
  <si>
    <t>Palayan City</t>
  </si>
  <si>
    <t>Purchase of medicines</t>
  </si>
  <si>
    <t>Orani, Bataan</t>
  </si>
  <si>
    <t>Mexico, Pampanga</t>
  </si>
  <si>
    <t>Construction of multi-purpose building</t>
  </si>
  <si>
    <t>Medical mission and purchase of medicines for indigent families</t>
  </si>
  <si>
    <t>Purchase of post harvest facilities</t>
  </si>
  <si>
    <t>health assistance</t>
  </si>
  <si>
    <t>San Jose City</t>
  </si>
  <si>
    <t>Obando, Bulacan</t>
  </si>
  <si>
    <t>Balagtas, Bulacan</t>
  </si>
  <si>
    <t>Marilao, Bulacan</t>
  </si>
  <si>
    <t>Province of Aurora</t>
  </si>
  <si>
    <t>Province of Nueva Ecija</t>
  </si>
  <si>
    <t>Concreting of Malasin-Bazal-Ascot Road</t>
  </si>
  <si>
    <t>Concreting of Malacañang - Bangad Road</t>
  </si>
  <si>
    <t>Formulation of policies on supervision, program and standard by the Bureau of Local Government Supervision (P250M)</t>
  </si>
  <si>
    <t xml:space="preserve">A.II.a.4 </t>
  </si>
  <si>
    <t>Formulation of new approaches and strategies to improve and enhance the technical capabilities of the local government by the Office of Project Development Service (P500M)</t>
  </si>
  <si>
    <t>Formulation of new approaches and strategies to improve and enhance the technical capabilities of LGUs by the Office the Project Development Service</t>
  </si>
  <si>
    <t>Fire prevention and suppresion activities</t>
  </si>
  <si>
    <t>A.III.a.1</t>
  </si>
  <si>
    <t>Custody, safekeeping and rehabilitation  of district, city and municipal prisoners or any detainee awaiting, investigation, trial and/or transfer to the national penitentiary</t>
  </si>
  <si>
    <t>Construction of Police Station (P113.366M)</t>
  </si>
  <si>
    <t>PNP Modernization Program (P23M)</t>
  </si>
  <si>
    <t>B.I.b</t>
  </si>
  <si>
    <t xml:space="preserve">Development, Evaluation, Monitoring and Accreditation of Formal Technical - Vocational Education and Training, B.I.a  Training for Work Scholarship Program </t>
  </si>
  <si>
    <t>Extension and enhancement of science and technology activities
Region IX</t>
  </si>
  <si>
    <t xml:space="preserve">A.III.a.02.a 
A.III.a.02.a.12 </t>
  </si>
  <si>
    <t>Extension and enhancement of science and technology activities
Region X</t>
  </si>
  <si>
    <t xml:space="preserve">A.III.a.02.a 
A.III.a.02.a.13 </t>
  </si>
  <si>
    <t>Extension and enhancement of science and technology activities
Region XII</t>
  </si>
  <si>
    <t xml:space="preserve">A.III.a.02.a 
A.III.a.02.a.15 </t>
  </si>
  <si>
    <t>Assistance to victims of disasters and natural calamities including handling and hauling of commodity donations - P120,950
Protective services for individuals and families in especially difficult circumstances - P1,850,195</t>
  </si>
  <si>
    <t xml:space="preserve">A.II.c.3.a 
A.II.c.3.c </t>
  </si>
  <si>
    <t>General Management and Supervision at the Central Office including the requirements for International Coffee Organization-Cerifying Agency</t>
  </si>
  <si>
    <t>Various Airports, Ports, Lighthouses and Railways Projects</t>
  </si>
  <si>
    <t xml:space="preserve">B.I.a.14 </t>
  </si>
  <si>
    <t>MRT3 Operation and Maintenance (EDSA LRT III)</t>
  </si>
  <si>
    <t xml:space="preserve">B.I.a.6 </t>
  </si>
  <si>
    <t>For the requirements of the program benefeciaries Development Component of the Comprehensive Agrarian Reform Program</t>
  </si>
  <si>
    <t xml:space="preserve">C.1 </t>
  </si>
  <si>
    <t>National High Value Commercial Crops (Nationwide) Central Office</t>
  </si>
  <si>
    <t xml:space="preserve">A.III.a.16.a </t>
  </si>
  <si>
    <t xml:space="preserve">A.III.a.16.a  </t>
  </si>
  <si>
    <t>(P5M) - Office of the Secretary
(P5M) - Office of the Secretary</t>
  </si>
  <si>
    <t xml:space="preserve">A.III.a.16.a
A.III.b.6.a   </t>
  </si>
  <si>
    <t xml:space="preserve">
Department of Education Computerization Program</t>
  </si>
  <si>
    <t>Department of Education Computerization Program</t>
  </si>
  <si>
    <t>Division of Pangasinan II</t>
  </si>
  <si>
    <t xml:space="preserve">A.III.e.2.b.5 </t>
  </si>
  <si>
    <t>General Administration and Support Service</t>
  </si>
  <si>
    <t>Biodiversity Conservation Program</t>
  </si>
  <si>
    <t xml:space="preserve">A.III.c.09.a </t>
  </si>
  <si>
    <t>Environmental Management and Pollution Control</t>
  </si>
  <si>
    <t xml:space="preserve">A.III.a.01 </t>
  </si>
  <si>
    <t xml:space="preserve"> Environmental Management and Pollution Control</t>
  </si>
  <si>
    <t>A.III.a.01</t>
  </si>
  <si>
    <t>Development of special projects on cooperatives including the coordination with other government units, NGOs and foreign institutions</t>
  </si>
  <si>
    <t xml:space="preserve">A.II.a.02 </t>
  </si>
  <si>
    <t xml:space="preserve">Zamboanga City Medical Center, Tertiary-Medical (A-250),(IBC-251), Zamboanga City </t>
  </si>
  <si>
    <t>Vicente Sotto Memorial Medical Center, Tertiary-Medical Center (A-800)(IBC-619), Cebu City</t>
  </si>
  <si>
    <t>Valenzuela Medical Hospital Secondary</t>
  </si>
  <si>
    <t xml:space="preserve">A.III.c.1.d.1 </t>
  </si>
  <si>
    <t>Bicol Medical Center, Tertiary Medical Center, (A-500), Naga City</t>
  </si>
  <si>
    <t>Bicol Regional Training and Teaching Hospital, Tertiary-Regional (A-250), Legaspi City</t>
  </si>
  <si>
    <t>Jose R. Reyes Memorial Medical Center (A-450)(B-525)</t>
  </si>
  <si>
    <t xml:space="preserve">A.III.b.7.a </t>
  </si>
  <si>
    <t>Jose R. Reyes Memorial Medical Center</t>
  </si>
  <si>
    <t>Jose R. Reyes Memorial Medical Center, (A-450)(B-525)</t>
  </si>
  <si>
    <t xml:space="preserve">A.III.b.7.h </t>
  </si>
  <si>
    <t>National Center for Mental Health (A-4200)(IBC-315)</t>
  </si>
  <si>
    <t>National Children's Hospital, (A-250)(IBC-200)</t>
  </si>
  <si>
    <t xml:space="preserve">A.III.b.7.g </t>
  </si>
  <si>
    <t>A.III.b.7.f</t>
  </si>
  <si>
    <t>Jose Fabella Memorial Hospital, (A-700)(B-513)</t>
  </si>
  <si>
    <t>San Lazaro Hospital, (A-500)(IBC-463)</t>
  </si>
  <si>
    <t>San Lazaro Hospital</t>
  </si>
  <si>
    <t>East Avenue Medical Center, (A-600)(IBC-586)</t>
  </si>
  <si>
    <t>East Avenue Medical Center</t>
  </si>
  <si>
    <t>East Avenue Medical Center 
(A-600)(IBC-586)</t>
  </si>
  <si>
    <t>Philippine Orthopedic Center, (A-700)(IBC-645)</t>
  </si>
  <si>
    <t>Quirino Memorial Medical Center, (A-350) (IBC-350)</t>
  </si>
  <si>
    <t xml:space="preserve">A.III.b.7.d </t>
  </si>
  <si>
    <t xml:space="preserve">A.1.a </t>
  </si>
  <si>
    <t>Other infectious diseases and emerging and re-emerging diseases including HIV/AIDS, dengue, food and water-borne diseases</t>
  </si>
  <si>
    <t xml:space="preserve">A.III.b.2.b.3.c </t>
  </si>
  <si>
    <t>Bataan General Hospital</t>
  </si>
  <si>
    <t xml:space="preserve">A.III.c.5.d.5 </t>
  </si>
  <si>
    <t>A.III.c.9.d.4</t>
  </si>
  <si>
    <t>Don Jose S. Monfort Medical Center</t>
  </si>
  <si>
    <t xml:space="preserve">A.III.c.10.d.2 </t>
  </si>
  <si>
    <t>Governor Celestino Gallares Memorial Hospital, Tertiary-Regional (A-225)(IBC-250), Tagbiliran City</t>
  </si>
  <si>
    <t>Schistosomiasis Hospital</t>
  </si>
  <si>
    <t xml:space="preserve">A.III.c.11.d.2 </t>
  </si>
  <si>
    <t>Mayor Hilarion A. Ramiro, Sr. Regional Training and Teaching Hospital</t>
  </si>
  <si>
    <t xml:space="preserve">A.III.c.13.d.2 </t>
  </si>
  <si>
    <t>Amai Pakpak Medical Center</t>
  </si>
  <si>
    <t xml:space="preserve">A.III.c.13.d.3 </t>
  </si>
  <si>
    <t>Adela Serra Ty Memorial Medical Center</t>
  </si>
  <si>
    <t xml:space="preserve">A.III.c.16.d.2 </t>
  </si>
  <si>
    <t>Region 1 Medical Center</t>
  </si>
  <si>
    <t>Baguio General Hospital and Medical Center</t>
  </si>
  <si>
    <t xml:space="preserve">A.III.c.3.d.1 </t>
  </si>
  <si>
    <t>Southern Isabela General Hospital</t>
  </si>
  <si>
    <t xml:space="preserve">A.III.c.4.d.3 </t>
  </si>
  <si>
    <t>Ospital ng Palawan</t>
  </si>
  <si>
    <t xml:space="preserve">A.III.c.7.d.2 </t>
  </si>
  <si>
    <t xml:space="preserve"> Ospital ng Palawan, Tertiary (A-150), (IBC-130), Puerto Princesa City, Palawan</t>
  </si>
  <si>
    <t>A.III.c.7.d.2</t>
  </si>
  <si>
    <t>Eastern Visayas Regional Medical Center</t>
  </si>
  <si>
    <t>Cotabato Regional and Medical Center</t>
  </si>
  <si>
    <t xml:space="preserve">A.III.c.15.d.1 </t>
  </si>
  <si>
    <t>Batangas Regional Hospital, Tertiary-Regional (A-250) (IBC-200), Batangas City</t>
  </si>
  <si>
    <t xml:space="preserve">A.III.c.6.d.1 </t>
  </si>
  <si>
    <t>Southern Philippines Medical Center, Tertiary-Medical Center, (A-1,200)(IBC-1,200), Davao City</t>
  </si>
  <si>
    <t xml:space="preserve">A.III.c.14.d.1 </t>
  </si>
  <si>
    <t>Northern Mindanao Medical Center, Tertiary-Medical Center (A-300) (IBC-335), Cagayan de Oro City</t>
  </si>
  <si>
    <t xml:space="preserve">A.III.c.13.d.1 </t>
  </si>
  <si>
    <t>Region I Medical Center, Tertiary-Medical Center (A-300) (IBC-300), Dagupan City</t>
  </si>
  <si>
    <t>Ilocos Training and Regional Medical Center, Tertiary-Regional (A-300)(IBC-250), San Fernando City, La Union</t>
  </si>
  <si>
    <t>Davao Regional Hospital, Tertiary-Regional (A-200)(IBC-300), Tagum, Davao del Norte</t>
  </si>
  <si>
    <t>Eastern Visayas Regional Medical Center, Tertiary - Medical Center (A-250), (IBC-273), Tacloban City</t>
  </si>
  <si>
    <t>A.III.c.11.d.1</t>
  </si>
  <si>
    <t>Mariano Marcos Memorial Hospital and Medical Center, Tertiary-Medical Center (A-200) (IBC-200), Batac, Ilocos Norte</t>
  </si>
  <si>
    <t xml:space="preserve">A.III.c.2.d.1 </t>
  </si>
  <si>
    <t>Dr. Jose N. Rodriguez Memorial Hospital, Sanitaria (A-2000)(IBC-Custodial Care-1419:General Care-50), Tala, Caloocan City</t>
  </si>
  <si>
    <t>Tondo Medical Center, (A-200)(IBC-243)</t>
  </si>
  <si>
    <t xml:space="preserve">A.III.b.7.e  </t>
  </si>
  <si>
    <t>Las Piñas General Hospital and Sattelite Trauma Center</t>
  </si>
  <si>
    <t xml:space="preserve">A.III.c.1.d.2 </t>
  </si>
  <si>
    <t>Culion Sanitarium and Balala Hospital, Sanitaria (A-600)(IBC-Custodial Care-200, General Care-50), Culion Palawan</t>
  </si>
  <si>
    <t xml:space="preserve">A.III.c.7.d.1 </t>
  </si>
  <si>
    <t>Davao Regional Hospital, Tertiary-Regional (A-200) (IBC-300), Tagum, Davao Del Norte</t>
  </si>
  <si>
    <t>Gov. Celestino Gallares Memorial Hospital, Tertiary-Regional (A-225) (IBC-250), Tagbilaran City</t>
  </si>
  <si>
    <t>Southern Philiipines Medical Center, Tertiary-Medical Center (A-1, 200) (IBC-1, 200), Davao City</t>
  </si>
  <si>
    <t>Vicente Sotto Sr. Memorial Medical Center, Tertiary-Medical Center (A-800) (IBC-619), Cebu City</t>
  </si>
  <si>
    <t xml:space="preserve">A.III.c.10.d.1 </t>
  </si>
  <si>
    <t>Conduct of operation and other related confidential activited against dissidents, subversives, lawless elements and organized crime syndicate and campaign against kidnapping, trafficking of women and minors, smuggling, carnapping, gunrunnning, illegal fishing and trafficking of illegal drugs</t>
  </si>
  <si>
    <t xml:space="preserve">A.III.a.1.a </t>
  </si>
  <si>
    <t>New Bilibid Prison</t>
  </si>
  <si>
    <t xml:space="preserve">A.II.a.1.a </t>
  </si>
  <si>
    <t>Operations of the TESDA regional and provincial offices, including Regional Technical Education and Skills Development Center (RTESCs) and Provincial Technical Education and Skills Development Centers (PTESDCs) (NCR)</t>
  </si>
  <si>
    <t xml:space="preserve">A.III.f.1 </t>
  </si>
  <si>
    <t xml:space="preserve">A.III.f.1.a </t>
  </si>
  <si>
    <t>Operations of the TESDA regional and provincial offices, including Regional Technical Education and Skills Development Center (RTESCs) and Provincial Technical Education and Skills Development Centers (PTESDCs) (RO IV-A)</t>
  </si>
  <si>
    <t xml:space="preserve">A.III.f.1.f </t>
  </si>
  <si>
    <t>Region IVB</t>
  </si>
  <si>
    <t xml:space="preserve">A.III.f.1.g </t>
  </si>
  <si>
    <t>Region X</t>
  </si>
  <si>
    <t xml:space="preserve">A.III.f.1.m </t>
  </si>
  <si>
    <t>Operations of the TESDA regional and provincial offices, including Regional Technical Education and Skills Development Center (RTESCs) and Provincial Technical Education and Skills Development Centers (PTESDCs) (RO XI)</t>
  </si>
  <si>
    <t>Region XII</t>
  </si>
  <si>
    <t xml:space="preserve">A.III.f.1.o </t>
  </si>
  <si>
    <t>General Management Supervision</t>
  </si>
  <si>
    <t>Command and control</t>
  </si>
  <si>
    <t>A.I.a.1</t>
  </si>
  <si>
    <t>San Luis, Pampanga</t>
  </si>
  <si>
    <t>Guagua, Pampanga</t>
  </si>
  <si>
    <t>Dinalupihan, Bataan</t>
  </si>
  <si>
    <t>Bagac, Bataan</t>
  </si>
  <si>
    <t>Guimba, Nueva Ecija</t>
  </si>
  <si>
    <t>Munoz, Nueva Ecija</t>
  </si>
  <si>
    <t>Sta. Rosa, Nueva Ecija</t>
  </si>
  <si>
    <t>Penaranda, Nueva Ecija</t>
  </si>
  <si>
    <t>Norzagaray, Bulacan</t>
  </si>
  <si>
    <t>DRT, Bulacan</t>
  </si>
  <si>
    <t>50 kits</t>
  </si>
  <si>
    <t>37 kits</t>
  </si>
  <si>
    <t>25 kits</t>
  </si>
  <si>
    <t>Purchase of medical (first aid) Kits for Brgy. Health Workers -BP/ apparatus/ gloves/ scissors/ tongue/ depressor/ bandages</t>
  </si>
  <si>
    <t>Guiguinto, Bulacan</t>
  </si>
  <si>
    <t>Bocaue, Bulacan</t>
  </si>
  <si>
    <t>Diesel Ambulance</t>
  </si>
  <si>
    <t>Mun of Dinalupihan</t>
  </si>
  <si>
    <t>Mun of Del Pilar, Bat</t>
  </si>
  <si>
    <t>Sub-FA-livelihood proj-org farming for high value crops</t>
  </si>
  <si>
    <t>Mun of Marilao, Bul</t>
  </si>
  <si>
    <t>Mun of Calumpit, Bul</t>
  </si>
  <si>
    <t>Sub-FA-medical mission</t>
  </si>
  <si>
    <t>Municipality of Baler</t>
  </si>
  <si>
    <t>Municipality of Dilasag</t>
  </si>
  <si>
    <t>Municipality of Dinalungan</t>
  </si>
  <si>
    <t>Municipality of Dipaculao</t>
  </si>
  <si>
    <t>Municipality of Maria Aurora</t>
  </si>
  <si>
    <t>Municipality of San Luis</t>
  </si>
  <si>
    <t>Province of Bataan</t>
  </si>
  <si>
    <t>Municipality of Abucay</t>
  </si>
  <si>
    <t>Municipality of Bagac</t>
  </si>
  <si>
    <t>Municipality of Dinalupihan</t>
  </si>
  <si>
    <t>Municipality of Mariveles</t>
  </si>
  <si>
    <t>Municipality of Morong</t>
  </si>
  <si>
    <t>Municipality of Orani</t>
  </si>
  <si>
    <t>Municipality of Pilar</t>
  </si>
  <si>
    <t>Municipality of Samal</t>
  </si>
  <si>
    <t>Balanga City</t>
  </si>
  <si>
    <t>Province of Bulacan</t>
  </si>
  <si>
    <t>Municipality of Angat</t>
  </si>
  <si>
    <t>Municipality of Balagtas</t>
  </si>
  <si>
    <t>Municipality of Baliuag</t>
  </si>
  <si>
    <t>Municipality of Bulacan</t>
  </si>
  <si>
    <t>Municipality of Bustos</t>
  </si>
  <si>
    <t>Municipality of Calumpit</t>
  </si>
  <si>
    <t>Municipality of Doña Remedios Trinidad</t>
  </si>
  <si>
    <t>Municipality of Guiguinto</t>
  </si>
  <si>
    <t>Municipality of Hagonoy</t>
  </si>
  <si>
    <t>Municipality of Norzagaray</t>
  </si>
  <si>
    <t>Municipality of Obando</t>
  </si>
  <si>
    <t>Municipality of Pandi</t>
  </si>
  <si>
    <t>Municipality of Paombong</t>
  </si>
  <si>
    <t>Municipality of Plaridel</t>
  </si>
  <si>
    <t>Municipality of Pulilan</t>
  </si>
  <si>
    <t>Municipality of San Rafael</t>
  </si>
  <si>
    <t>Municipality of Santa Maria</t>
  </si>
  <si>
    <t>Malolos City</t>
  </si>
  <si>
    <t>Meycauayan City</t>
  </si>
  <si>
    <t>Municipality of Aliaga</t>
  </si>
  <si>
    <t>Municipality of Cabiao</t>
  </si>
  <si>
    <t>Municipality of Carrangalan</t>
  </si>
  <si>
    <t>Municipality of Cuyapo</t>
  </si>
  <si>
    <t>Municipality of Gabaldon</t>
  </si>
  <si>
    <t>Municipality of Gen. M. Natividad</t>
  </si>
  <si>
    <t>Municipality of Guimba</t>
  </si>
  <si>
    <t>Municipality of Jaen</t>
  </si>
  <si>
    <t>Municipality of Laur</t>
  </si>
  <si>
    <t>Municipality of Llanera</t>
  </si>
  <si>
    <t>Municipality of Nampicuan</t>
  </si>
  <si>
    <t>Municipality of Peñaranda</t>
  </si>
  <si>
    <t>Municipality of Rizal</t>
  </si>
  <si>
    <t>Municipality of San Antonio</t>
  </si>
  <si>
    <t>Municipality of San Leonardo</t>
  </si>
  <si>
    <t>Municipality Santa Rosa</t>
  </si>
  <si>
    <t>Municipality of Talavera</t>
  </si>
  <si>
    <t>Municipality of Talugtog</t>
  </si>
  <si>
    <t>Municipality of Zaragosa</t>
  </si>
  <si>
    <t>Cabanatuan City</t>
  </si>
  <si>
    <t>Muñoz City</t>
  </si>
  <si>
    <t>Province of Pampanga</t>
  </si>
  <si>
    <t>Municipality of Apalit</t>
  </si>
  <si>
    <t>Municipality of Arayat</t>
  </si>
  <si>
    <t>Municipality of Floridablanca</t>
  </si>
  <si>
    <t>Municipality of Guagua</t>
  </si>
  <si>
    <t>Municipality Lubao</t>
  </si>
  <si>
    <t>Municipality of Mabalacat</t>
  </si>
  <si>
    <t>Municipality of Macabebe</t>
  </si>
  <si>
    <t>Municipality of Magalang</t>
  </si>
  <si>
    <t>Municipality of Mexico</t>
  </si>
  <si>
    <t>Municipality of Minalin</t>
  </si>
  <si>
    <t>Municipality of Porac</t>
  </si>
  <si>
    <t>Municipality of San Simon</t>
  </si>
  <si>
    <t>Municipality of Sasmuan</t>
  </si>
  <si>
    <t>City of San Fernando</t>
  </si>
  <si>
    <t>Province of Tarlac</t>
  </si>
  <si>
    <t>Municipality of Anao</t>
  </si>
  <si>
    <t>Municipality of Bamban</t>
  </si>
  <si>
    <t>Municipality of Camiling</t>
  </si>
  <si>
    <t>Municipality of Capas</t>
  </si>
  <si>
    <t>Municipality of Mayantoc</t>
  </si>
  <si>
    <t>Municipality of Moncada</t>
  </si>
  <si>
    <t>Municipality of Paniqui</t>
  </si>
  <si>
    <t>Municipality of Pura</t>
  </si>
  <si>
    <t>Municipality of Ramos</t>
  </si>
  <si>
    <t>Municipality of San Manuel</t>
  </si>
  <si>
    <t>Municipality of Botolan</t>
  </si>
  <si>
    <t>Municipality of Candelaria</t>
  </si>
  <si>
    <t>Municipality of Castillejos</t>
  </si>
  <si>
    <t>Municipality of Iba</t>
  </si>
  <si>
    <t>Municipality of Palauig</t>
  </si>
  <si>
    <t>Municipality of San Felipe</t>
  </si>
  <si>
    <t>Municipality of San Marcelina</t>
  </si>
  <si>
    <t>Municipality of San Narciso</t>
  </si>
  <si>
    <t>Municipality of Santa Cruz</t>
  </si>
  <si>
    <t>Share of LGUs from the LGSF</t>
  </si>
  <si>
    <t>Stand alone repeater, plastic armchair, 19 units motorized bancas</t>
  </si>
  <si>
    <t>Concreting of interior roads-slaughter house, San Agustin, Betis</t>
  </si>
  <si>
    <t>Concreting of barangay road: 500 Tambakan, 500 Kamias</t>
  </si>
  <si>
    <t>Construction of check gate, deepening, declogging of water impounding reservoir (Tinajero, San Antonio)</t>
  </si>
  <si>
    <t>Improvement and rehab of drainage canal at Brgy. San Juan</t>
  </si>
  <si>
    <t>Municipality of Casiguran</t>
  </si>
  <si>
    <t>Municipality of Dingalan</t>
  </si>
  <si>
    <t>Municipality of Hermosa</t>
  </si>
  <si>
    <t>Municipality of Limay</t>
  </si>
  <si>
    <t>Municipality of Orion</t>
  </si>
  <si>
    <t>Municipality of Bocaue</t>
  </si>
  <si>
    <t>Municipality of Marilao</t>
  </si>
  <si>
    <t>Municipality of San Ildefonso</t>
  </si>
  <si>
    <t>Municipality of San Miguel</t>
  </si>
  <si>
    <t>San Jose del Monte City</t>
  </si>
  <si>
    <t>Municipality of Bongabon</t>
  </si>
  <si>
    <t>Municipality of Gen. Tinio</t>
  </si>
  <si>
    <t>Municipality of Licab</t>
  </si>
  <si>
    <t>Municipality of Lupao</t>
  </si>
  <si>
    <t>Municipality of Pantabangan</t>
  </si>
  <si>
    <t>Municipality of Quezon</t>
  </si>
  <si>
    <t>Municipality of San Isidro</t>
  </si>
  <si>
    <t>Municipality of Santo Domingo</t>
  </si>
  <si>
    <t>Gapan City</t>
  </si>
  <si>
    <t>Municipality of Bacolor</t>
  </si>
  <si>
    <t>Municipality of Candaba</t>
  </si>
  <si>
    <t>Municipality of Masantol</t>
  </si>
  <si>
    <t>Municipality of Santa Ana</t>
  </si>
  <si>
    <t>Municipality of Santa Rita</t>
  </si>
  <si>
    <t>Municipality of Santo Tomas</t>
  </si>
  <si>
    <t>Angeles City</t>
  </si>
  <si>
    <t>Municipality of Concepcion</t>
  </si>
  <si>
    <t>Municipality of Geronona</t>
  </si>
  <si>
    <t>Municipality of La Paz</t>
  </si>
  <si>
    <t>Municipality of San Clemente</t>
  </si>
  <si>
    <t>Municipality of San Jose</t>
  </si>
  <si>
    <t>Municipality of Santa Ignacia</t>
  </si>
  <si>
    <t>Municipality of Victoria</t>
  </si>
  <si>
    <t>Province of Zambales</t>
  </si>
  <si>
    <t>Municipality of Cabangan</t>
  </si>
  <si>
    <t>Municipality of Masinloc</t>
  </si>
  <si>
    <t>Municipality of Subic</t>
  </si>
  <si>
    <t>Repair and improvement of Malisik Dike</t>
  </si>
  <si>
    <t>Rental of bulldozer for the chanelling of Parua River Control along Ranalicsian and Talimundoc Marimla, Concepcion, Tarlac</t>
  </si>
  <si>
    <t>Norzagaray, Bul.</t>
  </si>
  <si>
    <t>Bulacan, Bul</t>
  </si>
  <si>
    <t>Moncada, Tarlac</t>
  </si>
  <si>
    <t>Licab, N.E.</t>
  </si>
  <si>
    <t>Castillejos, Zambales</t>
  </si>
  <si>
    <t>Subic, Zambales</t>
  </si>
  <si>
    <t xml:space="preserve">Anti-dengue medicines fo 13 bgys </t>
  </si>
  <si>
    <t>Scholarship for 200 scholars-BSU</t>
  </si>
  <si>
    <t xml:space="preserve">Medical mission to 37 bgys </t>
  </si>
  <si>
    <t>Const of 2-storey MPB</t>
  </si>
  <si>
    <t>Probiotics/ medicines for 4 bgys.</t>
  </si>
  <si>
    <t>Probiotics/ medicines for 5 bgys.</t>
  </si>
  <si>
    <t>San Jose City, N.E.</t>
  </si>
  <si>
    <t>Mun of Pantabangan, N.E.</t>
  </si>
  <si>
    <t>20 bgys of N.E</t>
  </si>
  <si>
    <t>14 bgys of N.E.</t>
  </si>
  <si>
    <t>Mun of Lupao, N.E.</t>
  </si>
  <si>
    <t>Mun of Rizal, N.E.</t>
  </si>
  <si>
    <t>Mun. of Rizal, N.E.</t>
  </si>
  <si>
    <t>Typhoon victims/fire/burial/medical</t>
  </si>
  <si>
    <t>Typhoon victims/fire/burial/medical @ P90,000.00 per bgy</t>
  </si>
  <si>
    <t>Typhoon victims/fire/burial/medical @ P16,000.00 each</t>
  </si>
  <si>
    <t>3 units lap tops</t>
  </si>
  <si>
    <t>Rehab of MPB</t>
  </si>
  <si>
    <t>Compl of MPB</t>
  </si>
  <si>
    <t>Const of Schl fence-Rizal Central School</t>
  </si>
  <si>
    <t>City of Gapan, N.E.</t>
  </si>
  <si>
    <t>City of Malolos, Bul</t>
  </si>
  <si>
    <t>Sub-FA-Impvt/Rehab of RHU-Sta Cruz, Gapan City</t>
  </si>
  <si>
    <t>Sub-FA-Impvt/Rehab of RHU-San Roque, Gapan City</t>
  </si>
  <si>
    <t>Sub-FA-Const of drainage Canal along Valmera St., Bgy Sto. Rosario, Mal., Bul</t>
  </si>
  <si>
    <t>Mun of Quezon, N.E.</t>
  </si>
  <si>
    <t>Mun of Bongabon, N.E.</t>
  </si>
  <si>
    <t>Mun of Pilar, Bataan</t>
  </si>
  <si>
    <t>Sub-FA-farm inputs for organic farming for high value crops</t>
  </si>
  <si>
    <t>Sub-FA-livelihood projects-organic farming</t>
  </si>
  <si>
    <t>Sub-FA-AUV Jitney Deluxe</t>
  </si>
  <si>
    <t>Mun of Tarlac</t>
  </si>
  <si>
    <t>Tarlac Province</t>
  </si>
  <si>
    <t>Mun. of Paniqui, Tarlac</t>
  </si>
  <si>
    <t>Sub-Health</t>
  </si>
  <si>
    <t>Sub-Food/burial/educ'l/med'l</t>
  </si>
  <si>
    <t>Sub-rehab of School Bldgs</t>
  </si>
  <si>
    <t>Sub-FA-rehab of  MPB/Comp/table/Chair/Printer/laptop/18 units desktop for schools</t>
  </si>
  <si>
    <t>Mun. of Arayat</t>
  </si>
  <si>
    <t>Mun. of Bacolor, Pamp.</t>
  </si>
  <si>
    <t>Mun. of Mexico, Pamp.</t>
  </si>
  <si>
    <t>Mun. of Sta. Ana, Pamp</t>
  </si>
  <si>
    <t>San Fdo. City, Pamp.</t>
  </si>
  <si>
    <t>Social services/ cash for work</t>
  </si>
  <si>
    <t>Subsidy to LGUs-FA-Med. Asst/livelihood prog</t>
  </si>
  <si>
    <t>Mun of Din.,Bataan</t>
  </si>
  <si>
    <t>Mun of Hermosa, Bat</t>
  </si>
  <si>
    <t>Mun of Orion, Bataan</t>
  </si>
  <si>
    <t>59 bgys of Dinalupihan/Hermosa/Orion/Limay</t>
  </si>
  <si>
    <t>Burial/medl/trans/edec/food</t>
  </si>
  <si>
    <t>not found in VSMMC's records</t>
  </si>
  <si>
    <t>Basic and Applied Researches on Food and Nutrition</t>
  </si>
  <si>
    <t xml:space="preserve">A.II.a.01 </t>
  </si>
  <si>
    <t>Protective Services for individuals and families in especially difficult circumstances</t>
  </si>
  <si>
    <t xml:space="preserve">A.II.c.3.c </t>
  </si>
  <si>
    <t>Financial Assistance for Various Services: Medical, educational, shelter, livelihood transportation, burial, legal services</t>
  </si>
  <si>
    <t xml:space="preserve">     Batangas City</t>
  </si>
  <si>
    <t xml:space="preserve">     Tanauan City</t>
  </si>
  <si>
    <t xml:space="preserve">     Biñan City</t>
  </si>
  <si>
    <t xml:space="preserve">     Calamba City</t>
  </si>
  <si>
    <t xml:space="preserve">   Batangas</t>
  </si>
  <si>
    <t xml:space="preserve">     Agoncillo</t>
  </si>
  <si>
    <t xml:space="preserve">     Alitagtag</t>
  </si>
  <si>
    <t xml:space="preserve">     Balete</t>
  </si>
  <si>
    <t xml:space="preserve">     Calaca</t>
  </si>
  <si>
    <t xml:space="preserve">     Cuenca</t>
  </si>
  <si>
    <t xml:space="preserve">     Laurel</t>
  </si>
  <si>
    <t xml:space="preserve">     Lemery</t>
  </si>
  <si>
    <t xml:space="preserve">     Lian</t>
  </si>
  <si>
    <t xml:space="preserve">     Lobo</t>
  </si>
  <si>
    <t xml:space="preserve">     Mabini</t>
  </si>
  <si>
    <t xml:space="preserve">     Malvar</t>
  </si>
  <si>
    <t xml:space="preserve">     Padre Garcia</t>
  </si>
  <si>
    <t xml:space="preserve">     Rosario</t>
  </si>
  <si>
    <t xml:space="preserve">     San Luis</t>
  </si>
  <si>
    <t xml:space="preserve">     San Nicolas</t>
  </si>
  <si>
    <t xml:space="preserve">     San Pascual</t>
  </si>
  <si>
    <t xml:space="preserve">     Santa Teresita</t>
  </si>
  <si>
    <t xml:space="preserve">     Taal</t>
  </si>
  <si>
    <t xml:space="preserve">     Tingloy</t>
  </si>
  <si>
    <t xml:space="preserve">     Tuy</t>
  </si>
  <si>
    <t xml:space="preserve">     Lipa City</t>
  </si>
  <si>
    <t xml:space="preserve">   Cavite</t>
  </si>
  <si>
    <t xml:space="preserve">     Alfonso</t>
  </si>
  <si>
    <t xml:space="preserve">      Carmona</t>
  </si>
  <si>
    <t xml:space="preserve">      Magallanes</t>
  </si>
  <si>
    <t xml:space="preserve">     Cavite City</t>
  </si>
  <si>
    <t xml:space="preserve">   Laguna</t>
  </si>
  <si>
    <t xml:space="preserve">      Alaminos</t>
  </si>
  <si>
    <t xml:space="preserve">     Cabuyao</t>
  </si>
  <si>
    <t xml:space="preserve">       Calauan</t>
  </si>
  <si>
    <t xml:space="preserve">       Cavinti</t>
  </si>
  <si>
    <t xml:space="preserve">       Kalayaan</t>
  </si>
  <si>
    <t xml:space="preserve">       Liliw</t>
  </si>
  <si>
    <t xml:space="preserve">      Los Baños</t>
  </si>
  <si>
    <t xml:space="preserve">      Luisiana</t>
  </si>
  <si>
    <t xml:space="preserve">      Magdalena</t>
  </si>
  <si>
    <t xml:space="preserve">      Nagcarlan</t>
  </si>
  <si>
    <t xml:space="preserve">      Pagsanjan</t>
  </si>
  <si>
    <t xml:space="preserve">      Pila</t>
  </si>
  <si>
    <t xml:space="preserve">   Quezon</t>
  </si>
  <si>
    <t xml:space="preserve">    Alabat</t>
  </si>
  <si>
    <t xml:space="preserve">    Atimonan</t>
  </si>
  <si>
    <t xml:space="preserve">     Buenavista</t>
  </si>
  <si>
    <t xml:space="preserve">     Burdeos</t>
  </si>
  <si>
    <t xml:space="preserve">     Calauag</t>
  </si>
  <si>
    <t xml:space="preserve">     Catanauan</t>
  </si>
  <si>
    <t xml:space="preserve">     General Nakar</t>
  </si>
  <si>
    <t xml:space="preserve">     Guinyangan</t>
  </si>
  <si>
    <t xml:space="preserve">     Gumaca</t>
  </si>
  <si>
    <t xml:space="preserve">     Jomalig</t>
  </si>
  <si>
    <t xml:space="preserve">     Lopez</t>
  </si>
  <si>
    <t xml:space="preserve">     Lucban</t>
  </si>
  <si>
    <t xml:space="preserve">     Macalelon</t>
  </si>
  <si>
    <t xml:space="preserve">     Mauban</t>
  </si>
  <si>
    <t xml:space="preserve">     Mulanay</t>
  </si>
  <si>
    <t xml:space="preserve">    Padre Burgos</t>
  </si>
  <si>
    <t xml:space="preserve">    Pagbilao</t>
  </si>
  <si>
    <t xml:space="preserve">     Panukulan</t>
  </si>
  <si>
    <t xml:space="preserve">    Patnanungan</t>
  </si>
  <si>
    <t xml:space="preserve">    Perez</t>
  </si>
  <si>
    <t xml:space="preserve">    Plaridel</t>
  </si>
  <si>
    <t xml:space="preserve">    Polillo</t>
  </si>
  <si>
    <t xml:space="preserve">    Real</t>
  </si>
  <si>
    <t xml:space="preserve">    Sampaloc</t>
  </si>
  <si>
    <t xml:space="preserve">    San Antonio</t>
  </si>
  <si>
    <t xml:space="preserve">    San Francisco</t>
  </si>
  <si>
    <t xml:space="preserve">    San Narciso</t>
  </si>
  <si>
    <t xml:space="preserve">    Sariaya</t>
  </si>
  <si>
    <t xml:space="preserve">    Tagkawayan</t>
  </si>
  <si>
    <t xml:space="preserve">    Tiaong</t>
  </si>
  <si>
    <t xml:space="preserve">   Rizal</t>
  </si>
  <si>
    <t xml:space="preserve">     Antipolo City</t>
  </si>
  <si>
    <t xml:space="preserve">     Batangas</t>
  </si>
  <si>
    <t xml:space="preserve">       Batangas Province</t>
  </si>
  <si>
    <t xml:space="preserve">       Balayan</t>
  </si>
  <si>
    <t xml:space="preserve">       Calatagan</t>
  </si>
  <si>
    <t xml:space="preserve">       Ibaan</t>
  </si>
  <si>
    <t xml:space="preserve">       Mataas na Kahoy</t>
  </si>
  <si>
    <t xml:space="preserve">       Nasugbu</t>
  </si>
  <si>
    <t xml:space="preserve">       San Jose</t>
  </si>
  <si>
    <t xml:space="preserve">      San Juan</t>
  </si>
  <si>
    <t xml:space="preserve">      Santo Tomas</t>
  </si>
  <si>
    <t xml:space="preserve">      Talisay</t>
  </si>
  <si>
    <t xml:space="preserve">      Taysan</t>
  </si>
  <si>
    <t xml:space="preserve">    Cavite</t>
  </si>
  <si>
    <t xml:space="preserve">      Amadeo</t>
  </si>
  <si>
    <t xml:space="preserve">      Bacoor</t>
  </si>
  <si>
    <t xml:space="preserve">      Gen. Aguinaldo</t>
  </si>
  <si>
    <t xml:space="preserve">      Gen. Alvarez</t>
  </si>
  <si>
    <t xml:space="preserve">      Gen. Trias</t>
  </si>
  <si>
    <t xml:space="preserve">      Imus</t>
  </si>
  <si>
    <t xml:space="preserve">      Indang</t>
  </si>
  <si>
    <t xml:space="preserve">      Kawit</t>
  </si>
  <si>
    <t xml:space="preserve">      Maragondon</t>
  </si>
  <si>
    <t xml:space="preserve">      Mendez-Nunez</t>
  </si>
  <si>
    <t xml:space="preserve">      Naic</t>
  </si>
  <si>
    <t xml:space="preserve">      Noveleta</t>
  </si>
  <si>
    <t xml:space="preserve">      Rosario</t>
  </si>
  <si>
    <t xml:space="preserve">      Silang</t>
  </si>
  <si>
    <t xml:space="preserve">      Tanza</t>
  </si>
  <si>
    <t xml:space="preserve">      Ternate</t>
  </si>
  <si>
    <t xml:space="preserve">     Dasmariñas City</t>
  </si>
  <si>
    <t xml:space="preserve">     Trece Martires City</t>
  </si>
  <si>
    <t xml:space="preserve">     Bay</t>
  </si>
  <si>
    <t xml:space="preserve">     Famy</t>
  </si>
  <si>
    <t xml:space="preserve">     Lumban</t>
  </si>
  <si>
    <t xml:space="preserve">     Mabitac</t>
  </si>
  <si>
    <t xml:space="preserve">     Paete</t>
  </si>
  <si>
    <t xml:space="preserve">     Pakil</t>
  </si>
  <si>
    <t xml:space="preserve">     Pangil</t>
  </si>
  <si>
    <t xml:space="preserve">     Rizal</t>
  </si>
  <si>
    <t xml:space="preserve">     San Pedro</t>
  </si>
  <si>
    <t xml:space="preserve">     Santa Maria</t>
  </si>
  <si>
    <t xml:space="preserve">     Siniloan</t>
  </si>
  <si>
    <t xml:space="preserve">     Victoria</t>
  </si>
  <si>
    <t xml:space="preserve">     San Pablo</t>
  </si>
  <si>
    <t xml:space="preserve">     Santa Rosa</t>
  </si>
  <si>
    <t xml:space="preserve">  Quezon</t>
  </si>
  <si>
    <t xml:space="preserve">    Quezon Province</t>
  </si>
  <si>
    <t xml:space="preserve">    Agdangan</t>
  </si>
  <si>
    <t xml:space="preserve">   Candelaria</t>
  </si>
  <si>
    <t xml:space="preserve">    Dolores</t>
  </si>
  <si>
    <t xml:space="preserve">   General Luna</t>
  </si>
  <si>
    <t xml:space="preserve">    Infanta</t>
  </si>
  <si>
    <t xml:space="preserve">    Pitogo</t>
  </si>
  <si>
    <t xml:space="preserve">    Quezon</t>
  </si>
  <si>
    <t xml:space="preserve">    San Andres</t>
  </si>
  <si>
    <t xml:space="preserve">    Unisan</t>
  </si>
  <si>
    <t xml:space="preserve">    Lucena</t>
  </si>
  <si>
    <t xml:space="preserve">  Rizal</t>
  </si>
  <si>
    <t xml:space="preserve">    Rizal Province</t>
  </si>
  <si>
    <t xml:space="preserve">    Jala-Jala</t>
  </si>
  <si>
    <t xml:space="preserve">    Teresa</t>
  </si>
  <si>
    <t>Provision of assistance, incentives, scholarship and study grants to students in higher education</t>
  </si>
  <si>
    <t xml:space="preserve">A.III.a.2 </t>
  </si>
  <si>
    <t>For the operational requirements of the FDCP pursuant to RA 9167</t>
  </si>
  <si>
    <t xml:space="preserve">A.II.a </t>
  </si>
  <si>
    <t>Promotion and development of Muslim Cooperatives</t>
  </si>
  <si>
    <t>Implementation of Socio Economic and Cultural Development Projects</t>
  </si>
  <si>
    <t xml:space="preserve">A.III.a  </t>
  </si>
  <si>
    <t>National Sports for All-Grassroot Centerpiece Program</t>
  </si>
  <si>
    <t xml:space="preserve">A.II.b </t>
  </si>
  <si>
    <t xml:space="preserve"> Philippine General Hospital</t>
  </si>
  <si>
    <t>Higher Education Services</t>
  </si>
  <si>
    <t>Higher Education Services - Batangas State University</t>
  </si>
  <si>
    <t>Higher Education Services - Cavite State University</t>
  </si>
  <si>
    <t>Higher Education Services-Laguna State Polytechnic University</t>
  </si>
  <si>
    <t>Higher Education Services - Bicol University - Main</t>
  </si>
  <si>
    <t>Higher Education Services - Carlos E. Hilado Memorial State College</t>
  </si>
  <si>
    <t>Higher Education Services -Capiz State University</t>
  </si>
  <si>
    <t>Higher Education Services - West Visayas State University</t>
  </si>
  <si>
    <t>Higher Education Services - Eastern Samar State University</t>
  </si>
  <si>
    <t xml:space="preserve">A.II.b.1 </t>
  </si>
  <si>
    <t>Higher Education Services - University of Eastern Philippines</t>
  </si>
  <si>
    <t xml:space="preserve"> Higher Education Services - University of Eastern Philippines</t>
  </si>
  <si>
    <t>Advance and Higher Education Services</t>
  </si>
  <si>
    <t>Advanced and Higher Education Services</t>
  </si>
  <si>
    <t>Research Services</t>
  </si>
  <si>
    <t xml:space="preserve">A.II.a. </t>
  </si>
  <si>
    <t>Higher Education Services - Caraga State University Main Campus</t>
  </si>
  <si>
    <t>Higher Education Services- Marawi</t>
  </si>
  <si>
    <t>Marawi</t>
  </si>
  <si>
    <t>Comprehensive Research and Development, Management, Training and Education for the Prevention and Treatment of Lung and Allied Diseases</t>
  </si>
  <si>
    <t>Prevention and treatment of and research on kidney diseases particularly those requiring dialysis and transplant</t>
  </si>
  <si>
    <t>Service Related Program</t>
  </si>
  <si>
    <t>Comprehensive Research and Development, Management, Training and Education for the prevention and treatment of Children's Diseases</t>
  </si>
  <si>
    <t xml:space="preserve">     Tagaytay City, Cavite</t>
  </si>
  <si>
    <t xml:space="preserve">     Province of Rizal</t>
  </si>
  <si>
    <t xml:space="preserve">     Laurel, Batangas</t>
  </si>
  <si>
    <t xml:space="preserve">     Morong, Rizal</t>
  </si>
  <si>
    <t xml:space="preserve">     Angono, Rizal</t>
  </si>
  <si>
    <t xml:space="preserve">     Plaridel, Quezon</t>
  </si>
  <si>
    <t xml:space="preserve">     Majayjay, Laguna</t>
  </si>
  <si>
    <t xml:space="preserve">     Taal, Batangas</t>
  </si>
  <si>
    <t xml:space="preserve">     Buenavista, Quezon</t>
  </si>
  <si>
    <t xml:space="preserve">     Magallanes, Cavite</t>
  </si>
  <si>
    <t xml:space="preserve">     Province of Cavite</t>
  </si>
  <si>
    <t>Assistance to indigent patients suffering from Heart Diseases</t>
  </si>
  <si>
    <t>Service Related Program - Assistance to indigent patients suffering from Heart Diseases</t>
  </si>
  <si>
    <t>Rest of Budgetary Support to GOCCs subject to Section 35, Book 6 of EO No. 292 and letter of implementation No. 29</t>
  </si>
  <si>
    <t>A.1</t>
  </si>
  <si>
    <t xml:space="preserve">     Taysan, Batangas</t>
  </si>
  <si>
    <t xml:space="preserve">     Padre garcia, batangas</t>
  </si>
  <si>
    <t xml:space="preserve">     Sariaya, Quezon</t>
  </si>
  <si>
    <t xml:space="preserve">     San Nicolas, Batangas</t>
  </si>
  <si>
    <t xml:space="preserve">     Brgy. Tinucan, Tanay, Rizal</t>
  </si>
  <si>
    <t xml:space="preserve">     Brgy. Cayabu, Tanay, Rizal</t>
  </si>
  <si>
    <t xml:space="preserve">    Province of Laguna</t>
  </si>
  <si>
    <t xml:space="preserve">    Santa Cruz, Laguna</t>
  </si>
  <si>
    <t xml:space="preserve">    Luisiana, Laguna</t>
  </si>
  <si>
    <t xml:space="preserve">    Sampaloc, Quezon</t>
  </si>
  <si>
    <t xml:space="preserve">    Brgy. Locloc, San Luis, Batangas</t>
  </si>
  <si>
    <t xml:space="preserve">    Unisan, Quezon</t>
  </si>
  <si>
    <t xml:space="preserve">    Padre Burgos, Quezon</t>
  </si>
  <si>
    <t xml:space="preserve">    Pakil, Laguna</t>
  </si>
  <si>
    <t xml:space="preserve">    Taysan, Batangas</t>
  </si>
  <si>
    <t xml:space="preserve">    San Juan, Batangas</t>
  </si>
  <si>
    <t>Procurement of PE Pipes (92 Rolls of Hose) for various Barangays</t>
  </si>
  <si>
    <t xml:space="preserve">    Ibaan, Batangas</t>
  </si>
  <si>
    <t xml:space="preserve">    Padre Garcia, Batangas</t>
  </si>
  <si>
    <t>100% Fully Implemented</t>
  </si>
  <si>
    <t>13 Faculty members trained on Module on Continuing Spanish Language Training</t>
  </si>
  <si>
    <t>589 students were granted scholarship for the 1st semester SY 2013-2014</t>
  </si>
  <si>
    <t>No response from Agency</t>
  </si>
  <si>
    <t>Zamboanga Sibugay</t>
  </si>
  <si>
    <t>Sulu</t>
  </si>
  <si>
    <t>Tawi-Tawi</t>
  </si>
  <si>
    <t>Generation of new knowledge &amp; technologies &amp; research capability building in priority areas identified as strategic to National Dev't</t>
  </si>
  <si>
    <t>Metro-wide Services as Stipulated under Section 3 of RA No. 7924: Solid Waste Disposal and Management</t>
  </si>
  <si>
    <t>General Administrative and Support Services</t>
  </si>
  <si>
    <t>Repair/Rehabilitation and Construction of Farm to Market Roads in the Designated Key Production Areas</t>
  </si>
  <si>
    <t>Skills Registry Program</t>
  </si>
  <si>
    <t xml:space="preserve"> General Administrative and Support Services</t>
  </si>
  <si>
    <t>Construction of Police Station</t>
  </si>
  <si>
    <t xml:space="preserve"> Custody, safekeeping and rehabilitation of district, city and municipal prisoners or any detainee awaiting investigation, trial and transfer to the national penitentiary</t>
  </si>
  <si>
    <t>Training for Work Scholarship Program (TWSP)</t>
  </si>
  <si>
    <t>Formulation &amp; Coordination of public information plans &amp; programs</t>
  </si>
  <si>
    <t>Sitio Electrification Project</t>
  </si>
  <si>
    <t>Promotion of safety of life &amp; property at sea including safeguarding the marine environment &amp; resources &amp; enforcement of all applicable maritime laws</t>
  </si>
  <si>
    <t xml:space="preserve">A.III.c.1 </t>
  </si>
  <si>
    <t xml:space="preserve"> Local Governance Performance Managemet Program Performance-Based Challenge Fund for LGUs</t>
  </si>
  <si>
    <t>A.III.c</t>
  </si>
  <si>
    <t>Training Services</t>
  </si>
  <si>
    <t xml:space="preserve"> Region XI</t>
  </si>
  <si>
    <t xml:space="preserve">A.III.e </t>
  </si>
  <si>
    <t>Jose Rizal Memorial State University</t>
  </si>
  <si>
    <t>A.II.a.1</t>
  </si>
  <si>
    <t>Philippine General Hospital</t>
  </si>
  <si>
    <t>West Visayas State University</t>
  </si>
  <si>
    <t>Bicol Medical Center, Tertiary Medical Center, (A-500), (IBC-510) Naga City</t>
  </si>
  <si>
    <t>A.III.c.8.d.1</t>
  </si>
  <si>
    <t xml:space="preserve"> East Avenue Medical Center 
(A-600)(IBC-586)</t>
  </si>
  <si>
    <t>A.III.b.7.c</t>
  </si>
  <si>
    <t xml:space="preserve"> Jose Fabella Memorial Hospital, (A-700)(B-513)</t>
  </si>
  <si>
    <t xml:space="preserve"> Jose R. Reyes Memorial Medical Center (A-450)(B-525)</t>
  </si>
  <si>
    <t>Las Piñas General Hospital and Satellite Trauma Center, Secondary (A-200)(IBC-88), Las Piñas, Metro Manila</t>
  </si>
  <si>
    <t xml:space="preserve"> San Lazaro Hospital, (A-500)(IBC-463)</t>
  </si>
  <si>
    <t>A.III.b.7.j</t>
  </si>
  <si>
    <t xml:space="preserve"> Western Visayas Medical Center Tertiary-Medical Center, (A-400)(IBC-368), Iloilo</t>
  </si>
  <si>
    <t>A.III.c.9.d.1</t>
  </si>
  <si>
    <t xml:space="preserve">A.III.c.12.d.1 </t>
  </si>
  <si>
    <t>Training for Work Scholarship Program</t>
  </si>
  <si>
    <t>Conduct of training,  livelihood enterprise development and other capacity building programs for student youth and disabled workers (NCR)</t>
  </si>
  <si>
    <t>A.II.c.3.c</t>
  </si>
  <si>
    <t xml:space="preserve"> Region II</t>
  </si>
  <si>
    <t>A.III.a.2.b.3</t>
  </si>
  <si>
    <t>Restoration, preservation, survey and documentation of historic structures, edifices, ancestral houses and maintenance of the National Registry of Historical Structures of the Philippines</t>
  </si>
  <si>
    <t xml:space="preserve">A.III.d.1 </t>
  </si>
  <si>
    <t>Ressetlement Program</t>
  </si>
  <si>
    <t>Assistance to indigent patients suffering from kidney and other allied diseases</t>
  </si>
  <si>
    <t>International and domestic marketing and promotions</t>
  </si>
  <si>
    <t>General Administration and Support
CAR</t>
  </si>
  <si>
    <t xml:space="preserve">A.I.a 
A.I.a.2.b </t>
  </si>
  <si>
    <t>General Administration and Support
RO I</t>
  </si>
  <si>
    <t>General Administration and Support
 RO II</t>
  </si>
  <si>
    <t xml:space="preserve">A.I.a
A.I.a.2.c </t>
  </si>
  <si>
    <t xml:space="preserve">A.I.a 
A.I.a.2.a </t>
  </si>
  <si>
    <t>General Administration and Support
 RO III</t>
  </si>
  <si>
    <t>A.I.a 
A.I.a.2.d</t>
  </si>
  <si>
    <t>General Administration and Support
RO IX</t>
  </si>
  <si>
    <t xml:space="preserve">A.I.a 
A.I.a.2.k </t>
  </si>
  <si>
    <t>General Administration and Support
 RO X</t>
  </si>
  <si>
    <t xml:space="preserve">A.I.a 
A.I.a.2.l </t>
  </si>
  <si>
    <t>General Administration and Support
RO XIII</t>
  </si>
  <si>
    <t xml:space="preserve">A.I.a 
A.I.a.2.o </t>
  </si>
  <si>
    <t>General Administration and Support
CO</t>
  </si>
  <si>
    <t xml:space="preserve">A.I.a 
A.I.a.1 </t>
  </si>
  <si>
    <t>Air &amp; Ground Combat Services</t>
  </si>
  <si>
    <t>Disaster Response and Relief Services</t>
  </si>
  <si>
    <t xml:space="preserve"> Development of the Crops Sector
</t>
  </si>
  <si>
    <t>A.III.a.10.m</t>
  </si>
  <si>
    <t xml:space="preserve"> Rest of Budgetary Support to GOCCs subject to Section 35, Chapter 5, Book VI of EO 292 and Letter of Implementation No. 29</t>
  </si>
  <si>
    <t>Extension of Technical Assistance to Government Agencies for the Proper Implementation of Policies, Rules, and Regulations on the Creation, Maintenance, Disposal and Retirement of all Government Records</t>
  </si>
  <si>
    <t>Lump-sum for the Requirement of Basic Educational Facilities</t>
  </si>
  <si>
    <t xml:space="preserve">A.III.e.17.p </t>
  </si>
  <si>
    <t>Support for infrastructure projects and social programs</t>
  </si>
  <si>
    <t xml:space="preserve">A.IV </t>
  </si>
  <si>
    <t xml:space="preserve">A.II.c </t>
  </si>
  <si>
    <t xml:space="preserve">B.I.f </t>
  </si>
  <si>
    <t xml:space="preserve"> Indigenous Peoples (IP) Education</t>
  </si>
  <si>
    <t>B.I.i</t>
  </si>
  <si>
    <t>Kapit Bisig Laban sa Kahirapan - CIDSS: Kapangyarihan at Kaunlaran sa Barangay</t>
  </si>
  <si>
    <t xml:space="preserve">B.II.a </t>
  </si>
  <si>
    <t>Implementation of socio-economic and cultural development projects - Region II</t>
  </si>
  <si>
    <t>A.III.a.1.b.3</t>
  </si>
  <si>
    <t xml:space="preserve"> Foreign Assisted Projects - Central Office</t>
  </si>
  <si>
    <t>B.II</t>
  </si>
  <si>
    <t>Operation and Maintenance of Regional Offices
 Region IV</t>
  </si>
  <si>
    <t>A.3.c.2.a 
A.III.c.2.a.6</t>
  </si>
  <si>
    <t xml:space="preserve"> - Deployment and set-up for Alpha Testing</t>
  </si>
  <si>
    <t>Civil Society Organization/People's Participation Partnership Program</t>
  </si>
  <si>
    <t>For the establishment amd operation of fishing port complexes and other structures related to the fishing industry nationwide</t>
  </si>
  <si>
    <t xml:space="preserve">Financial Assistance for the construction of UP College of Law building </t>
  </si>
  <si>
    <t>Financial Assistance for the construction of school bulding in UP Satellite  Campus in Taguig</t>
  </si>
  <si>
    <t xml:space="preserve">Financial assistance for the rehab. of mangroves and agro-forestrY devt.  prog. in Maulawin spring protected landscape, Himbubulo West,  San Pedro I, Magsaysay, Guinayangan, Quezon </t>
  </si>
  <si>
    <t>Rehabilitation of Bulac-Balintingong Road</t>
  </si>
  <si>
    <t>Various works/improvement of Mexico Community Hospital</t>
  </si>
  <si>
    <t>With actual report of disbursement but without measurable report of actual outputs for (Polangui water system constructed 100% w/a)</t>
  </si>
  <si>
    <t>1.Livelihood assistance for various social sectors: senior citizens, women, farmers, fisherfolks, youth, et. (P1M);
2.Medical assistance (P1M); 
3.Development of fisheries/livestock (P1M); and
4.Assistance to indigents i.e., burial assistance, transportation assistance, etc. (P500K)</t>
  </si>
  <si>
    <t xml:space="preserve"> 520 sq. m. expanded  library</t>
  </si>
  <si>
    <t>As reported by the SUC, they did not receive this SARO</t>
  </si>
  <si>
    <t>Additional allotment for the Malnutrition Reduction Program</t>
  </si>
  <si>
    <t>Culion Sanitarium &amp; Balala H - FA for indigent patients from Palawan I</t>
  </si>
  <si>
    <t xml:space="preserve">        Ilocos T &amp; RMC - FA for indigent patients </t>
  </si>
  <si>
    <t xml:space="preserve">Gov Celestino Gallares MH - FA for indigent patients of Bohol I </t>
  </si>
  <si>
    <t>For the rehabilitation of polluted rivers and its tributaries in a nationwide scale</t>
  </si>
  <si>
    <t>For the establishment of Materials Recovery Facilities as well as the necessary trainings and education campaign on the implementation of RA No. 9003</t>
  </si>
  <si>
    <t>Concreting of Eternidad St. Brgy Brillante and Tupaz - 100% Accomplished</t>
  </si>
  <si>
    <t>15 Units Solar Powered Street Lights</t>
  </si>
  <si>
    <t>Purchase of medicines for health center; purchase of medical equipment; livelihood assistance</t>
  </si>
  <si>
    <t>Rehabilitation of Busak Diversion Road</t>
  </si>
  <si>
    <t xml:space="preserve">Rehab of Water System Mainline - Completed </t>
  </si>
  <si>
    <t>Constructed public market (Phase II)</t>
  </si>
  <si>
    <t>4. Concreting/Graveling/Rehabilitation/
Construction of Farm-to-Market Road Project P293,000,000</t>
  </si>
  <si>
    <t>FA to indigent and Displaced Families</t>
  </si>
  <si>
    <t>Paluan, Occ Mindoro</t>
  </si>
  <si>
    <t>Dairy Enterprise Development Program</t>
  </si>
  <si>
    <t>Electronic data management processing</t>
  </si>
  <si>
    <t xml:space="preserve">A.II.c.1 </t>
  </si>
  <si>
    <t xml:space="preserve">A.III.a.1.b.5 </t>
  </si>
  <si>
    <t xml:space="preserve">A.III.a.1.b.8 </t>
  </si>
  <si>
    <t xml:space="preserve">A.III.a.1.b.11 </t>
  </si>
  <si>
    <t xml:space="preserve">A.III.a.1.b.13 </t>
  </si>
  <si>
    <t xml:space="preserve">A.III.a.1.b.1 </t>
  </si>
  <si>
    <t>Research Program</t>
  </si>
  <si>
    <t>Protective services for individuals and families in especially difficult circumstances</t>
  </si>
  <si>
    <t>Develepment, Integration &amp; Coordination of the National Research System for Industry, Energy &amp; Emerging Technology and Related Fields</t>
  </si>
  <si>
    <t>Presidential Security Guard</t>
  </si>
  <si>
    <t>Additional Budget for SUCs (Original Program of P4,284,400 less P3,059,400 which is included in DPWH - Various Infra Program above)</t>
  </si>
  <si>
    <t xml:space="preserve">In 2012, The project completed the objectives , such as: set-up of the infrastruc-ture and equipment requirements; training and exposure of the workforce that will run the national laboratory; trial equipment operation using samples from the semiconductor and electronics industries; and documentation/prepara-tion for the application of ISO 17025 accreditation.
In 2013, From the start of operation on January 8 to September 30, 2013, ADMATEL has already serviced 31 companies and institutions, 19 of which are from semiconduc-tor and electronics industry. The number of clientele is still growing as two (2) new clients were added in the 1st week of Oct. 2013.
</t>
  </si>
  <si>
    <t xml:space="preserve">A.III.a.1.b.9 </t>
  </si>
  <si>
    <t xml:space="preserve">A.III.a.1.b.16 </t>
  </si>
  <si>
    <t xml:space="preserve"> Office of the Secretary
National Rice Program
National Corn Program
National High Value Commercial Crops Program
National Livestock Program
Promotion and Development of Organic Agriculture</t>
  </si>
  <si>
    <t xml:space="preserve">A.III
A.III.11.a
A.III.12.a
A.III.16.a 
A.III.b.6.a 
A.III.g   </t>
  </si>
  <si>
    <t>National Roads to other Strategic Tourist Destinations</t>
  </si>
  <si>
    <t xml:space="preserve">B.I.a.3.b.3.I </t>
  </si>
  <si>
    <t xml:space="preserve"> Domestic Tourism Promotion</t>
  </si>
  <si>
    <t xml:space="preserve">A.I.a.1.a </t>
  </si>
  <si>
    <t>A.III.a 16.a</t>
  </si>
  <si>
    <t xml:space="preserve">Development of Crop Sector - Office of the Secretary                                         </t>
  </si>
  <si>
    <t>A.III.a</t>
  </si>
  <si>
    <t xml:space="preserve"> Development of Crops Sector</t>
  </si>
  <si>
    <t>Development of the Crops Section</t>
  </si>
  <si>
    <t xml:space="preserve"> Financial assistance for livelihood program and   development - Crop Sector</t>
  </si>
  <si>
    <t>Field Operatins of Alternative Learning System including Implementation of Accreditation and Equivalent System</t>
  </si>
  <si>
    <t xml:space="preserve"> Division of Nueva Ecija</t>
  </si>
  <si>
    <t xml:space="preserve">A.III.e.6.b.1 </t>
  </si>
  <si>
    <t>Division of Batangas</t>
  </si>
  <si>
    <t>A.III.e.5.b.4.c</t>
  </si>
  <si>
    <t xml:space="preserve"> Division/District Office (Proper)</t>
  </si>
  <si>
    <t>A.III.b</t>
  </si>
  <si>
    <t xml:space="preserve"> Higher Education Services</t>
  </si>
  <si>
    <t>Operation-Philippine General Hospital</t>
  </si>
  <si>
    <t>A.II.a</t>
  </si>
  <si>
    <t>Higher Education Services-Scholarship Expenses</t>
  </si>
  <si>
    <t>General Administration and Support/Support to Operations/Operations</t>
  </si>
  <si>
    <t>Nueva Vizcaya State Institute of Technology Campus</t>
  </si>
  <si>
    <t>Higher Education Services-Main Campus</t>
  </si>
  <si>
    <t>Higher Education</t>
  </si>
  <si>
    <t>South Luzon State University</t>
  </si>
  <si>
    <t>Occidental Mindoro State College (Main Campus)</t>
  </si>
  <si>
    <t>A.II.b</t>
  </si>
  <si>
    <t>University Hospital</t>
  </si>
  <si>
    <t>Leyte State University</t>
  </si>
  <si>
    <t xml:space="preserve"> Advance and Higher Education Services</t>
  </si>
  <si>
    <t>Caraga State University Main Campus</t>
  </si>
  <si>
    <t xml:space="preserve">A.III.b.2 </t>
  </si>
  <si>
    <t>General Santos</t>
  </si>
  <si>
    <t>A.III.e.1</t>
  </si>
  <si>
    <t>Formulation of policies, plans and programs including regulation of renewable energy resource exploration, development and utilization</t>
  </si>
  <si>
    <t>Development of special projects on cooperatives including the coordination with other government units, NGOs and foreign institions</t>
  </si>
  <si>
    <t>A.III.b.7.l</t>
  </si>
  <si>
    <t>"Amang" Rodriguez Medical Center (A-150)(IBO304)</t>
  </si>
  <si>
    <t>A.III.c.16.d.2</t>
  </si>
  <si>
    <t>Adela Serra Ty Memorial Medical Center (A-200) (IBC-100)</t>
  </si>
  <si>
    <t>Bicol Medical Center, Tertiary-Medical Center, Naga City</t>
  </si>
  <si>
    <t>Bicol Medical Center, Tertiary-Medical Center(A-500)(IBC-510),Naga City</t>
  </si>
  <si>
    <t>A.III.c.8.d.2</t>
  </si>
  <si>
    <t>Bicol Regional Training and Teaching Hospital, Tertiary (A-250) (IBC-279), Legazpi City</t>
  </si>
  <si>
    <t>A.III.c.8.d.3</t>
  </si>
  <si>
    <t>Bicol Sanitarium, Sanitaria (A-200) (IBC-200) (Cabusao, Camarines Sur)</t>
  </si>
  <si>
    <t>Cotabato Regional and Medical Center Tertiary Medical Center (A-400) (IBC-200), Cotabato City</t>
  </si>
  <si>
    <t xml:space="preserve">A.III.c.4.d.1 </t>
  </si>
  <si>
    <t>Cagayan Valley Medical Center, Tertiary-Medical Center (A-500) (IBC-General Care-350)), Tuguegarao, Cagayan</t>
  </si>
  <si>
    <t>A.III.c.1.d.4</t>
  </si>
  <si>
    <t>Dir. Jose N. Rodriguez Memorial Hospital Santiago(A-200) (IBC-Custodial Care-1419, General Care-50, Caloocan City</t>
  </si>
  <si>
    <t xml:space="preserve">A.III.c.12.d.6 </t>
  </si>
  <si>
    <t>Dr. Jose Rizal Memorial Hospital Tertiary (A-200) (IBC-75) Dapitan City, Zamboanga del Norte</t>
  </si>
  <si>
    <t>A.III.c.14.d.2</t>
  </si>
  <si>
    <t>Davao Regional Hospital Tertiary-Regional (A-200)(IBC-400)Tagum, Davao del Norte</t>
  </si>
  <si>
    <t xml:space="preserve"> Davao Regional Hospital, Tertiary-Regional (A-200) (IBC-300), Tagum, Davao del Norte</t>
  </si>
  <si>
    <t>East Avenue Medical Center (A-600) (IBC-586)</t>
  </si>
  <si>
    <t xml:space="preserve">A.III.c.10.d.4 </t>
  </si>
  <si>
    <t>Eversley Childs Sanitarium, Sanitaria (A-500) (IBC-Custodio Care-200, General Care-50) Mandaue City</t>
  </si>
  <si>
    <t>Eastern Visayas Regional Medical Center, Tertiary-Medical Center (A-250) (IBC-273), Tacloban City</t>
  </si>
  <si>
    <t xml:space="preserve">A.III..c.11.d.1 </t>
  </si>
  <si>
    <t>Eastern Visayas Regional Medical Center, Tertiary Medical Center (A-250) (IBC-273), Tacloban City</t>
  </si>
  <si>
    <t>A.III.c.10.d.2</t>
  </si>
  <si>
    <t>Gov. Celestino Gallares Memorial Hospital, Tertiary-Regional(A-225) (IBC-250), Tagbilaran City Subsidies-Others</t>
  </si>
  <si>
    <t>A.III.c.2.d.3</t>
  </si>
  <si>
    <t>Ilocos Training and Regional Medical Center, Tertiary Regional (A-300) (IBC-250), San Fernando, La Union</t>
  </si>
  <si>
    <t>Jose B. Lingad Memorial General Hospital, Tertiary-Regional (A-250) (IBC-296), San Fernando, Pampanga</t>
  </si>
  <si>
    <t>Jose B. Lingad Memorial General Hospital, Tertiary-Regional (A-205) (IBC-296), San Fernando, Pampanga</t>
  </si>
  <si>
    <t>Jose Fabella Memorial Hospital (A-700) (IBC-513)</t>
  </si>
  <si>
    <t>Jose R. Reyes Memorial Medical Center (A-450) (IBC-525)</t>
  </si>
  <si>
    <t>A.III.c.1.d.2</t>
  </si>
  <si>
    <t>Las Pinas General Hospital and Satellite Trauma Center, Secondary (A-200) (IBC-88), Las Pinas, Metro Manila</t>
  </si>
  <si>
    <t>A.III.c.2.d.1</t>
  </si>
  <si>
    <t>Mariano Marcos Memorial Hospital and Medical Center, Tertiary Medical Center (A-200) (IBC-200), Batac, Ilocos Norte</t>
  </si>
  <si>
    <t>A.III.b.7.g</t>
  </si>
  <si>
    <t>National Childrens's Hospital (A-250) (IBC-200)</t>
  </si>
  <si>
    <t xml:space="preserve"> National Center for Mental Health (A-4200) (IBC-3151)</t>
  </si>
  <si>
    <t>A.III.b.7.h</t>
  </si>
  <si>
    <t>Philippine Orthopedic Center, (A-700) (IBC-645)</t>
  </si>
  <si>
    <t>Quirino Memorial Medical Center (A-350) (IBC-350)</t>
  </si>
  <si>
    <t>A.III.c.2.d.2</t>
  </si>
  <si>
    <t>Region I Medical Center, Tertiary-Medical Center, Dagupan City</t>
  </si>
  <si>
    <t>Region I Medical Center, Tertiary-Medical Center (A-300) (IBC-300)</t>
  </si>
  <si>
    <t>San Lazaro Hospital (A-500) (IBC-463)</t>
  </si>
  <si>
    <t xml:space="preserve"> San Lorenzo Ruiz Special Hospital for Women, Malabon, Metro Manila</t>
  </si>
  <si>
    <t>A.III.c.1.d.3</t>
  </si>
  <si>
    <t>Southern Philippine Medical Center, Tertiary Medical Center(A-1200) (IBC-1,200), Davao City</t>
  </si>
  <si>
    <t>A.III.b.7.e</t>
  </si>
  <si>
    <t>Tondo Medical Center (A-200) (IBC-243)</t>
  </si>
  <si>
    <t>Veterans General Hospital Tertiary Regional (A-200) (IBC-200), Bayombong, Nueva Ecija</t>
  </si>
  <si>
    <t>Valenzuela Medical Hospital, Secondary (A-200) (IBC-100), Valenzuela, Metro, Manila</t>
  </si>
  <si>
    <t>Valenzuela Medical Hospital, Secondary (A-200) (IBC-100) Valenzuela, Metro Manila</t>
  </si>
  <si>
    <t>Vicente Sotto Sr. Memorial Medical Center, Tertiary Medical Center (A-800) (IBC-619), Cebu City</t>
  </si>
  <si>
    <t>Western Visayas Medical Center, Tertiary-Medical Center (A-400) (IBC-368), Iloilo City</t>
  </si>
  <si>
    <t>Zamboanga City Medical Center,Tertiary Medical Center (A-250) (IBC-251), Zamboanga City</t>
  </si>
  <si>
    <t xml:space="preserve">A.III.a.1.a.1.d </t>
  </si>
  <si>
    <t>Region II</t>
  </si>
  <si>
    <t>A.III.a.1.a.1.m</t>
  </si>
  <si>
    <t>Region Office No. X</t>
  </si>
  <si>
    <t>A.III.a.1.a.1.f</t>
  </si>
  <si>
    <t>Region IV-A</t>
  </si>
  <si>
    <t xml:space="preserve"> Region I</t>
  </si>
  <si>
    <t>A.III.a.1.a.1.b</t>
  </si>
  <si>
    <t>Conduct of training, livelihood enterprise development and other capacity building programs for student youth and disabled workers (NCR)</t>
  </si>
  <si>
    <t>Conduct of training,  livelihood enterprise development and other capacity building programs for student youth and disabled workers (RO VII)</t>
  </si>
  <si>
    <t>B.I.a.1</t>
  </si>
  <si>
    <t>Central Office</t>
  </si>
  <si>
    <t>National Capital Region</t>
  </si>
  <si>
    <t xml:space="preserve"> Operations of the TESDA regional and provincial offices, including Regional Technical Education and Skills Development Center (RTESCs) and Provincial Technical Education and Skills Development Centers (PTESDCs) (NCR)</t>
  </si>
  <si>
    <t>A.III.f.1.b</t>
  </si>
  <si>
    <t>Region 1</t>
  </si>
  <si>
    <t xml:space="preserve"> Operations of the TESDA regional and provincial offices, including Regional Technical Education and Skills Development Center (RTESCs) and Provincial Technical Education and Skills Development Centers (PTESDCs) (RO I)</t>
  </si>
  <si>
    <t xml:space="preserve"> Operations of the TESDA regional and provincial offices, including Regional Technical Education and Skills Development Center (RTESCs) and Provincial Technical Education and Skills Development Centers (PTESDCs) (RO III)</t>
  </si>
  <si>
    <t>A.III.f.1.e</t>
  </si>
  <si>
    <t xml:space="preserve">A.III.f.1.e </t>
  </si>
  <si>
    <t>Region III</t>
  </si>
  <si>
    <t>A.III.f.1.f</t>
  </si>
  <si>
    <t xml:space="preserve"> Operations of the TESDA regional and provincial offices, including Regional Technical Education and Skills Development Center (RTESCs) and Provincial Technical Education and Skills Development Centers (PTESDCs) (RO IV-A)</t>
  </si>
  <si>
    <t>Region IV-B</t>
  </si>
  <si>
    <t>A.III.f.1.h</t>
  </si>
  <si>
    <t>Region V</t>
  </si>
  <si>
    <t>Operations of the TESDA regional and provincial offices, including Regional Technical Education and Skills Development Center (RTESCs) and Provincial Technical Education and Skills Development Centers (PTESDCs) (RO V)</t>
  </si>
  <si>
    <t xml:space="preserve">A.III.f.1.i </t>
  </si>
  <si>
    <t>Regional Office No. VI</t>
  </si>
  <si>
    <t xml:space="preserve"> Operations of the TESDA regional and provincial offices, including Regional Technical Education and Skills Development Center (RTESCs) and Provincial Technical Education and Skills Development Centers (PTESDCs) (RO VI)</t>
  </si>
  <si>
    <t>A.III.f.1.i</t>
  </si>
  <si>
    <t>A.III.f.1.j</t>
  </si>
  <si>
    <t>Region VII</t>
  </si>
  <si>
    <t>Regional Office No. VII</t>
  </si>
  <si>
    <t>A.III.f.1.m</t>
  </si>
  <si>
    <t>A.III.f.2.l.2.a</t>
  </si>
  <si>
    <t>Camiguin School of Arts and Trades</t>
  </si>
  <si>
    <t>Operations of the TESDA regional and provincial offices, including Regional Technical Education and Skills Development Center (RTESCs) and Provincial Technical Education and Skills Development Centers (PTESDCs) (RO XII)</t>
  </si>
  <si>
    <t>Regional Office XII</t>
  </si>
  <si>
    <t>A.III.f.1.p</t>
  </si>
  <si>
    <t>Regional Office XIII</t>
  </si>
  <si>
    <t>B.I.h</t>
  </si>
  <si>
    <t xml:space="preserve">B.1.h </t>
  </si>
  <si>
    <t xml:space="preserve"> Protective Services for individuals and families in especially difficult circumstances including P10,000,000 assistance to victims of involuntary disappearance and members of their families upon coordination with the Families of involuntary Disappearance (FIND)</t>
  </si>
  <si>
    <t>Protective Services for Individuals and Families in Especially Difficult Circumstances</t>
  </si>
  <si>
    <t>Promotion and Development of Small and Medium Entreprises</t>
  </si>
  <si>
    <t>A.III.a.2</t>
  </si>
  <si>
    <t>Provision of assistance, incentives and scholarships</t>
  </si>
  <si>
    <t>Provision of assistance, incentives, scholarships and study grants to students in higher education</t>
  </si>
  <si>
    <t>Scholarship of members of the cultural communities</t>
  </si>
  <si>
    <t>Socio-economic and cultural development projects for muslim and cultural communities</t>
  </si>
  <si>
    <t xml:space="preserve">A.III.a.3 </t>
  </si>
  <si>
    <t>Promotion and development of Muslim cooperatives</t>
  </si>
  <si>
    <t>Assistance to indigent suffering from kidney and other allied diseases</t>
  </si>
  <si>
    <t>Rest of Budgetary Support to GOCCs subject to Section 35, Book 6 of EO No. 292 and letter of implementation No. 30</t>
  </si>
  <si>
    <t>Rest of Budgetary Support to GOCCs subject to Section 35, Book 6 of EO No. 292 and letter of implementation No. 31</t>
  </si>
  <si>
    <t>Rest of Budgetary Support to GOCCs subject to Section 35, Book 6 of EO No. 292 and letter of implementation No. 32</t>
  </si>
  <si>
    <t>Rest of Budgetary Support to GOCCs subject to Section 35, Book 6 of EO No. 292 and letter of implementation No. 33</t>
  </si>
  <si>
    <t>Rest of Budgetary Support to GOCCs subject to Section 35, Book 6 of EO No. 292 and letter of implementation No. 34</t>
  </si>
  <si>
    <t>Rest of Budgetary Support to GOCCs subject to Section 35, Book 6 of EO No. 292 and letter of implementation No. 35</t>
  </si>
  <si>
    <t>General Administration &amp; Support Services</t>
  </si>
  <si>
    <t>Assistance to victims of disasters and natural calamities including handling and hauling of commodity donations</t>
  </si>
  <si>
    <t xml:space="preserve">A.II.c.3.a </t>
  </si>
  <si>
    <t xml:space="preserve">Social Services (Burial, Transportation, Medical and Calamity Assistance) - 43% </t>
  </si>
  <si>
    <t>PCW</t>
  </si>
  <si>
    <t>PSC</t>
  </si>
  <si>
    <t>Various Other Local Projects</t>
  </si>
  <si>
    <t>1. Drydocking and Repair of CPP of BRP Batangas - 100% completed
2. Drydocking and Reapir of BRP Ilocos Norte - 91% completed
3. Drydocking and Repair of BRP San Juan - 100% completed
4. Procurement of 1000 hours mandatory Iran for PCG Islander 251 - 95% completed</t>
  </si>
  <si>
    <t>343 barangyas/schools benefited/other agencies</t>
  </si>
  <si>
    <t>100% Implemented</t>
  </si>
  <si>
    <t>Alternative Learning System (withdrawn)</t>
  </si>
  <si>
    <t>Construction of Youth Home completed</t>
  </si>
  <si>
    <t>343 barangays/schools/other agencies benefited</t>
  </si>
  <si>
    <t>1. Road Widening - San Marcos Prov. Rd -.198 kilometers completed</t>
  </si>
  <si>
    <t>2. Improvement of Access Rd to Capitol - .179 kilometers completed</t>
  </si>
  <si>
    <t>100 % Greening and Beautification Project and Livelihood Program implemented</t>
  </si>
  <si>
    <t>Funds Transferred to DPWH thru MOA 3/28/14 - Procurement Activities by DPWH on going</t>
  </si>
  <si>
    <t xml:space="preserve">Various Priority Programs and Projects implemented </t>
  </si>
  <si>
    <t>Public Market Improved (Backfilling)</t>
  </si>
  <si>
    <t>Concreting of Roads</t>
  </si>
  <si>
    <t xml:space="preserve"> Medical Equipment Purchased </t>
  </si>
  <si>
    <t>Concreting of Cabaggan Road - 100% completed</t>
  </si>
  <si>
    <t>Concreting of Barangay Roads completed</t>
  </si>
  <si>
    <t>100% completed - Roofing of RHU Building</t>
  </si>
  <si>
    <t>Concreting of Basement and Parking Area for Public Market</t>
  </si>
  <si>
    <t>Concreting of Drainage @ Bugallion Proper</t>
  </si>
  <si>
    <t>Concreting of Barangay Cutug Pequeno completed</t>
  </si>
  <si>
    <t>Construction of Market Stalls</t>
  </si>
  <si>
    <t>Concreting of Baranay Bagabag Road completed</t>
  </si>
  <si>
    <t>Construction of Slaughter House completed</t>
  </si>
  <si>
    <t>Purchase of Heavy Equipment &amp; Various Infra Projects completed</t>
  </si>
  <si>
    <t>Const. of Drainage Canal of Alfonso Castaned Central School</t>
  </si>
  <si>
    <t>Construction of Municipal Bagsakan Center completed</t>
  </si>
  <si>
    <t>Const. of 5 units Commercial Stalls at the Public Market</t>
  </si>
  <si>
    <t>Construction of FTMR Brgy Pinya &amp; Medical Mission</t>
  </si>
  <si>
    <t>Concreting of Siguem-Muta Road completed</t>
  </si>
  <si>
    <t>Concreting of FTMR, Maddiagat, Quezon</t>
  </si>
  <si>
    <t>Concreting of FTMR, Sinapaoan - Bantinan</t>
  </si>
  <si>
    <t>Improvement of Public Market</t>
  </si>
  <si>
    <t>Various Infra Proj. - Concreting/Imprvmt of FTMRs</t>
  </si>
  <si>
    <t>Hospital Equipment Purchased</t>
  </si>
  <si>
    <t xml:space="preserve">Construction of 6 Units Market Stalls </t>
  </si>
  <si>
    <t>Construction of Public Market completed</t>
  </si>
  <si>
    <t>Electrification of Magsaysay Boulevard</t>
  </si>
  <si>
    <t>Rehabilitation of Rizal-Sto Tomas FTMR</t>
  </si>
  <si>
    <t>200 scholars</t>
  </si>
  <si>
    <t>1404 scholars</t>
  </si>
  <si>
    <t>25 patients</t>
  </si>
  <si>
    <t>967 patients</t>
  </si>
  <si>
    <t>132 patients</t>
  </si>
  <si>
    <t>Social Services Programs implemented</t>
  </si>
  <si>
    <t>Women's Convergence Hall constructed</t>
  </si>
  <si>
    <t>Monobloc Chairs/Tents for various barangays purchased</t>
  </si>
  <si>
    <t xml:space="preserve">1. Establishment of National Film Archive in Murphy, Quezon City to include rental, repairs, signages, electricity, shelving, film cans, etc.
2. Establishment of Marawi Cinematheque to include rentals, repairs, etc.
3. Purchase of airconditioning units for Iloilo and Davao Cinematheques
4. 5 units of Cinema projectors and screens for FDCP cinematheques
5. Purchase of cinema theater seats deployed in the FDCP cinematheques in Davao and Marawi
6. Expenses in the holding of the Sineng Pambansa (local festivals) in Iloilo, Davao and Marawi to cover airfaire, other professional fees, rental of venues, promotional and advertising, representation expenses
7. Prizes as seed money to produce into film winning scripts in the National Film Competition
</t>
  </si>
  <si>
    <t>100% of funds transferred to Corregidor Foundation</t>
  </si>
  <si>
    <t>95.02% accomplished as of June 2014
 - The DOT-DPWH Convergence Program is part and parcel of the National Tourism Development Program (NTDP) implementation and in line with the current government's thrust of promoting inclusive growth. An improved tourism road infrastructure will help in attracting the target of 10 million international tourists and 56.1 million domestic travelers, paving way to more investments and generating 7.4 million jobs by 2016.</t>
  </si>
  <si>
    <t>Implementation of transfer of DOT offices and its attached agencies - 100% completed
- It paved the way for the renovation and conversion of the old DOT building to the Museum of Natural History, which is projected to be a major point of interest amoung tourists and enthusiasts of heritage, culture and the arts. This would enable the National Museum to finally showcase priceless historical artifacts that have been in storage for lack of exhibition space. Located at the country's premier business district, the new DOT office is housed in a six storey bldg. which was renovated, remodeled and designed to have its operating units clustered in every floor to facilitate more efficient business operations. The ground floor serves as the modern tourist information counter and investment lounge</t>
  </si>
  <si>
    <t>100% transferred to Corregidor Foundation
- The repair of the wharf paved the way for the enhancement of tour programs in time for the country's hosting of the recent 2014 World Economic Forum on East Asia and Asia Pacific Economic Cooperation (APEC) meetings in 2015.</t>
  </si>
  <si>
    <t>97.5 % accomplished as of June 27, 2014 
- The project's goals were to make a grandeur presentation of the National Monument and the National Flagpole within the Kilometer Zero of the Philippine Highway System and to restore the Independence Flagpole to its original height and reassert its importance in Philippine history. The redevelopment of Kilometer Zero has become the catalyst for the revitalization of Rizal Park as a national public space with improved visual quality, better sense of security, ease of access through Roxas Blvd. providing a positive pedestrian experience, and opening of vistas creating an unobstructed view of the park's major features. The redevelopment has resulted in a positive overall user satisfaction. In line with efforts to maintain an excellent service and as Asia's 8th Highest Rated Park according to Pagoda.com. The project also dovetailed with the redevelopment plan of Roxas Blvd. linear park and promenade. 
The redeveloped Rizal Monument area which increase the green areas, improved pavements and new access to the park resulting to influx of park visitors and satisfied park experience. 
 - % increase in number of park visitors
     Actual 2012 - 9,326,948
     Actual 2013 - 9,649,968
     3.35% increase
- % of visitors who rate the quality of parks as satisfactory or better
     CY 2012 - 92.55%
     CY 2013 - 93.89%</t>
  </si>
  <si>
    <t>Conducted routine patrol in response to the aggressive stance of China in Panatag Shoal (Bajo de Masinloc)</t>
  </si>
  <si>
    <t>Funds 100% transferred to DPWH
- This is a convergence between national government agencies, local government units, and the private sector that aims to restore and enhance Manila as a viable capital for tourism and business. Construction works by the DPWH are still on-going. HOwever, a revitalized Roxas Blvd. is projected to improve property values between 2 to 5% within 1-3 years of the improvement, further increase property values between 10 to 15% after 3 years if the urban improvements are maintained, improve traffic and circulation in surrounding districts' commercial establishments, and reflect a new and improved face of Metro Manila as the capital of the Philippines.</t>
  </si>
  <si>
    <t>No. of BPLS compliant LGUs (2)
impact: increased revenue of the LGUs</t>
  </si>
  <si>
    <t>2. Operationalization of Halal Laboratory (with Capability Building)</t>
  </si>
  <si>
    <t>No. of Laboratory Equipment for Halal Testing Procured (22)</t>
  </si>
  <si>
    <t>3. Computerization of Business Name Registration System Software Development Hardware Acquisition</t>
  </si>
  <si>
    <t xml:space="preserve">Installation of Computer units and its Peripherals:
9 units - laptop
43 units - desktop
6 units -printers
6 units - LCD with screen
5 units - digital camera
impact: reduced processing time from average of 1 week to 1 day
</t>
  </si>
  <si>
    <t xml:space="preserve">4. One town One Product (OTOP) </t>
  </si>
  <si>
    <t>No. of products enhanced-packaging and labelling (27)
No. of SMEs assisted (375)</t>
  </si>
  <si>
    <t>5. Shared Service Facility (SSF)</t>
  </si>
  <si>
    <t>No. of solar dryers constructed (9)
No. of coffee processing equipment procured (57)
No. of abaca processing equipment procured (36)
No. of coco coir processing equipment procured (12)
No. of plastic drums for rubber processing procured (160)
Amount for procurement of yakan cloth weaving facilities awarded (Php 750)
No. of equipment for organic fertilizer production procured (50)
impact:
1. improved quality of raw dried seaweeds (RDS)
2. increased production of RDS
3. seaweed farms expanded in some areas
4. improved quality of coffee beans
5. improved quality of semi processed rubber</t>
  </si>
  <si>
    <t xml:space="preserve">As of July 4, 2014, 15 projects are completed, 5 are on-going and 14 are under procurement stage. </t>
  </si>
  <si>
    <t>500 Housing units completed out of 500 housing units targeted.</t>
  </si>
  <si>
    <t>List of physical plant and medical equipment/laboratory equipment  acquired/rehabilitated as of June, 2014 attached.</t>
  </si>
  <si>
    <t xml:space="preserve">BFP-BJMP Housing Project - 2,948 housing units out of 2,000 housing units targeted; and Housing Program for ISFs Living Along Danger Areas in Metro Manila  - 12,291 out of 19,436 targeted housing units. </t>
  </si>
  <si>
    <t>To cover operating requirements for the period 2012 (P13.5M) to 2013 (P4M)</t>
  </si>
  <si>
    <t>For the acquisition of Credit Information System</t>
  </si>
  <si>
    <t>Payment for the lot purchased from NHA (2,580.50 sq/m @P32,500/sq/m) plus other expenses for the transfer of title. The balance P15,150,930 will be used for FY 2015 rental expense.</t>
  </si>
  <si>
    <t xml:space="preserve">Guaranteed P8 Billion worth of enrolments out of the P37.9 B (25,006 units) new enrolments for FY 2011. </t>
  </si>
  <si>
    <t>2,991,080 families benefitted</t>
  </si>
  <si>
    <t>Reacquisition of lot from BDO of the foreclosed property of PPC located at Quezon City</t>
  </si>
  <si>
    <t>Payment of mandatory obligations (GSIS) for deficiency in premium remittances covering May - Nov. 2011 for 9,760 employees</t>
  </si>
  <si>
    <t xml:space="preserve">Enhanced BSPs capital stock thereby improvng its capital position. The improvement allowed BSP to accommodate fluctuations in its income stream as it engages in open market operation for price stability an its function as lender of last resort for financial stability </t>
  </si>
  <si>
    <t xml:space="preserve">Renovation of hospital facilities amounting to P62 Million. Procurement of medical and laboratory equipment amounting to P218 Million. </t>
  </si>
  <si>
    <t>P18.3 Million for Direct Lending Programs extended to 27 SMEs. P551.7 Million Direct Lending Programs extended to 6 Large Accounts.</t>
  </si>
  <si>
    <t xml:space="preserve">List of basic medical/surgical equipment purchased  as of May 14, 2014 </t>
  </si>
  <si>
    <t>As of  June 30, 2014, 215 Sitios are energized out of 246 targeted</t>
  </si>
  <si>
    <t>Benefitted 1,392 indigent patients with an average cost of P8,620 per indigent.</t>
  </si>
  <si>
    <t>455 indigents beneficiaries of P3 Million.</t>
  </si>
  <si>
    <t xml:space="preserve">133 indigents beneficiaries of P500,000. </t>
  </si>
  <si>
    <t>781 Indigents benefitted</t>
  </si>
  <si>
    <t>41 Sitios are energized out of 42 targeted. 1 sitio is delayed in energization due to non-compliance with EC/LGU requirements.</t>
  </si>
  <si>
    <t xml:space="preserve">Status of Projects as of June 30, 2014 </t>
  </si>
  <si>
    <t xml:space="preserve">Report as of August 30, 2013. No updated report submitted </t>
  </si>
  <si>
    <t>Report for Milk Feeding Program as of April 2014</t>
  </si>
  <si>
    <t>112 sitios were energized out of 148 sitios targeted, of which, 18 sitios are delayed in energization due to non-compliance with EC/LGU requirements and 18 sitios are under construction.</t>
  </si>
  <si>
    <t>Status of projects as of June 30, 2014</t>
  </si>
  <si>
    <t xml:space="preserve">104 SUC Presidents were enrolled in various courses in the Executive Development Program for SUCs out of 110 targeted. </t>
  </si>
  <si>
    <t xml:space="preserve">LLDA Office Bldg and Laboratory - 100% completed for the design and construction of LLDA Bldg
</t>
  </si>
  <si>
    <t>Completed the development of a unified Results based Performance System in accordance with AO No. 25 and formulated the guidelines for the Performance Based Bonus.</t>
  </si>
  <si>
    <t>As of June 30, 2014, 1,930 sitios were energized out of 1,520 sitios targeted</t>
  </si>
  <si>
    <t>Fully utilized for the  Multi-Year Media Plan Campaign on "It's More Fun in the Philippines"</t>
  </si>
  <si>
    <t xml:space="preserve">List of Projects as of March 31, 2014 </t>
  </si>
  <si>
    <t xml:space="preserve">Request for transfer of P385.86 Million is with the Office of the Secretary for clearance. </t>
  </si>
  <si>
    <t>Project implementation is on hold per instruction of OSEC</t>
  </si>
  <si>
    <t>P400M is allocated for the control the spread coconut scale insect (CSI) infestation in the CALABARZON and Basilan areas</t>
  </si>
  <si>
    <t>On-going implementation of the Phase 1 of the rehabilitation project of the 25 declared cultural properties in Bohol, Cebu and Eastern Samar</t>
  </si>
  <si>
    <t>2,031 beneficiaries</t>
  </si>
  <si>
    <t>372 Labor Law Compliance Officers</t>
  </si>
  <si>
    <t>111- LGUs; 
89- DOLE Regional Offices/Field Offices</t>
  </si>
  <si>
    <t>542 beneficiaries</t>
  </si>
  <si>
    <t>8,949 Enrolled; 8,932 Graduates</t>
  </si>
  <si>
    <t>73,848 Enrolled; 73,632 Graduates</t>
  </si>
  <si>
    <t>75,682 Enrolled; 75,479 Graduates</t>
  </si>
  <si>
    <t>3,495 Enrolled; 3,495 Graduates</t>
  </si>
  <si>
    <t>982 Enrolled; 982 Graduates</t>
  </si>
  <si>
    <t>1,000 Enrolled; 1,000 Graduates</t>
  </si>
  <si>
    <t>640 Enrolled; 640 Graduates</t>
  </si>
  <si>
    <t>578 Enrolled; 578 Graduates</t>
  </si>
  <si>
    <t>181 Enrolled; 181 Graduates</t>
  </si>
  <si>
    <t>753 Enrolled ; 753 Graduates</t>
  </si>
  <si>
    <t>186 Enrolled; 184 Graduates</t>
  </si>
  <si>
    <t>511 Enrolled; 486 Graduates</t>
  </si>
  <si>
    <t>144 Enrolled; 144 Graduates</t>
  </si>
  <si>
    <t>74,600 Enrolled; 74,504 Graduates</t>
  </si>
  <si>
    <t>529 Enrolled; 529 Graduates</t>
  </si>
  <si>
    <t>3,095 Enrolled; 3,095 Graduates</t>
  </si>
  <si>
    <t>688 Enrolled; 688 Graduates</t>
  </si>
  <si>
    <t>289 Enrolled; 289 Graduates</t>
  </si>
  <si>
    <t>1. Magna Carta of Women (MCW) Information Caravan
2. MCW Speakers' Pool Training
3. Deepening Sessions on the MCW
4. Concerence on Sexual and Reproductive Health and Rights
5. Orientation on the MCW, Leadership Training, Provincial/Regional Forum
6. Printing of the VAW Desk Manual
7. Printing/Reprinting of MCW Publications and IEC materials
8. Printing of the Omnibus Circular on Gender Mainstreaming: Localizing the Magna Carta of Women</t>
  </si>
  <si>
    <t>G-13-00179</t>
  </si>
  <si>
    <t>Out of fifty-five (55) irrigation systems, 97.51% or 53 irrigation systems completed, one (1) on-going, one (1) for bidding</t>
  </si>
  <si>
    <t>Fourteen (14) Communal Irrigation Systems completed</t>
  </si>
  <si>
    <t>206 sub-projects completed</t>
  </si>
  <si>
    <t>Per submitted report of DAF-ARMM as of June 30, 2014 - Bidding process completed for ninety-five (95) units of cassava grater with presser project</t>
  </si>
  <si>
    <t>2. Rubber Nursery Project P5,000,000</t>
  </si>
  <si>
    <t>3. Halal Livestock Production Project P23,000,000</t>
  </si>
  <si>
    <t>Rubber nursery project in Sta. Clara, Lamitan City, Basilan already completed</t>
  </si>
  <si>
    <t>Medicines and medical supplies</t>
  </si>
  <si>
    <t>Subsidy to LGUs - Financial Assistance</t>
  </si>
  <si>
    <t>PUP Building</t>
  </si>
  <si>
    <t>Subsidy to LGUs - FA</t>
  </si>
  <si>
    <t>Thirty-one (31) out of thirty-four (34) FMR projects were already completed, three (3) are still on-going</t>
  </si>
  <si>
    <t>Construction of seven (7) Municipal Fish Ports on-going</t>
  </si>
  <si>
    <t>Improvement and construction of children's playground and senior citizen's park</t>
  </si>
  <si>
    <t>Construction of road at Batangas II</t>
  </si>
  <si>
    <t>Downpayment for land for landfill</t>
  </si>
  <si>
    <t>Sanitary landfill; flood control construction of concrete revetment at Cupang Proper; farm-to-market road at Maluang Road from city farm going to Brgy. Dangcol</t>
  </si>
  <si>
    <t>Concreting of Japan St., Brgy. Binagbag</t>
  </si>
  <si>
    <t>Concreting and regraveling of farm-to-market road at Pulo, San Isidro, Bambang, San Nicolas, San Francisco</t>
  </si>
  <si>
    <t>Improvement of road and drainage system at Brgy. Hulo-Bancal Road and at Brgy. Logos-Bayugo Road</t>
  </si>
  <si>
    <t>Rescue System</t>
  </si>
  <si>
    <t>Completed</t>
  </si>
  <si>
    <t>5 units customized trikes for garbage collection (with cleaning containers and tools)</t>
  </si>
  <si>
    <t>Expansion of water supply</t>
  </si>
  <si>
    <t>Constructed Level II Water System for Brgys. Balloc and Maasin</t>
  </si>
  <si>
    <t>Streetlights installed</t>
  </si>
  <si>
    <t>Rehabilitation and improvement of municipal drainage system and road shoulders at Poblacion West</t>
  </si>
  <si>
    <t>Construction of water system for 41 barangays</t>
  </si>
  <si>
    <t>Of the 750 FMR projects, 646 completed, 28 on-going, 76 under pre-construction stage
Note: Disbursement and actual outputs is for the total amount of P2.050 billion released under E-11-02262. It may be noted that the variance of P1.050 billion is included in DAP 1 OP approval</t>
  </si>
  <si>
    <t>Refer to DAP 2 sheet on the disbursement and actual outputs for the total amount of P2.050 billion</t>
  </si>
  <si>
    <t>Concreting of various streets in Olongapo City</t>
  </si>
  <si>
    <t>Sub-Peace n Order/Health Social Services</t>
  </si>
  <si>
    <t>N.E. Province</t>
  </si>
  <si>
    <t>Subsidy to LGUs-FA-8 Multi-cab</t>
  </si>
  <si>
    <t>Subsidy to LGUs-FA-8 Multi-cab-4 Multi-cab</t>
  </si>
  <si>
    <t>Mun of Paombong, Bul</t>
  </si>
  <si>
    <t>City of Malolos</t>
  </si>
  <si>
    <t>Sub-FA-Del of Social Services</t>
  </si>
  <si>
    <t>Sub. To LGUs</t>
  </si>
  <si>
    <t>Sub. To LGUs-Looc Rd.</t>
  </si>
  <si>
    <t>Const/Rehab-Batangas II Rd-Allion Rd.</t>
  </si>
  <si>
    <t>RA 10155, p. 56</t>
  </si>
  <si>
    <t>Out of 18 FMR projects, 6 projects completed, 10 on-going, 2 not yet started</t>
  </si>
  <si>
    <t>Construction of Datu Binasing SWIP, Pigcawayan Cotabato - 15% complete
Construction of Simsiman SWIP, Pigcawayan, Cotabato - 46% complete</t>
  </si>
  <si>
    <t>Improvement of Paidu-Pulangi FMR in Pikit, Cotabato - 100% complete</t>
  </si>
  <si>
    <t>Funds transferred to recipient agency; no report yet from recipient agency</t>
  </si>
  <si>
    <t>Rehabilitation expansion of Madapdap Birthing Station</t>
  </si>
  <si>
    <t>Project completed on FY 2012 (public market)</t>
  </si>
  <si>
    <t>Project still on-going (floating cottage)</t>
  </si>
  <si>
    <t>Project completed on FY 2012 (installation of street lights)</t>
  </si>
  <si>
    <t>Project completed on FY 2013 (health assistance)</t>
  </si>
  <si>
    <t>Project completed on FY 2012 (drainage system)</t>
  </si>
  <si>
    <t>Project is on-going (Rubber Plantation)</t>
  </si>
  <si>
    <t>Project is on-going (Cemetery Lot Purchase/Lot Improvement)</t>
  </si>
  <si>
    <t>136 Enrolled</t>
  </si>
  <si>
    <t>276 Enrolled</t>
  </si>
  <si>
    <t>695 Enrolled</t>
  </si>
  <si>
    <t>330 Enrolled</t>
  </si>
  <si>
    <t>177 Enrolled</t>
  </si>
  <si>
    <t>Seaweed farming material</t>
  </si>
  <si>
    <t>Complete supply of roofing materials</t>
  </si>
  <si>
    <t>Implemented (Balance 92,756.25)</t>
  </si>
  <si>
    <t>Project completed on FY 2012</t>
  </si>
  <si>
    <t>Implemented</t>
  </si>
  <si>
    <t>Fish and seaweed farming materials</t>
  </si>
  <si>
    <t>Medical, transportation, education assistance</t>
  </si>
  <si>
    <t>Medical, transportation, financial and gas. Assistance</t>
  </si>
  <si>
    <t>Medical, burial, education assistance</t>
  </si>
  <si>
    <t>Educational- 4 HS, 23 COLLEGE/burial-5/assistance to senior citizens-63/ calamity purchased of nipa shingles-80</t>
  </si>
  <si>
    <t>Educational /medical assistance</t>
  </si>
  <si>
    <t>Burial, medical, educational assistance</t>
  </si>
  <si>
    <t>Medical assistance-may 10, 2013; gasolin sub.-may 10, 2013; school supplies- may 28, 2013; financial aid- june 28, 2013</t>
  </si>
  <si>
    <t>Medical, burial, transportation, education assistance, feeding program</t>
  </si>
  <si>
    <t>Medical assistance</t>
  </si>
  <si>
    <t>Construction of pathway</t>
  </si>
  <si>
    <t>No. of interns - 2,587</t>
  </si>
  <si>
    <t>Coordinated with HOR for the submission of status report, yet no reports were submitted</t>
  </si>
  <si>
    <t>Completed in April 2013</t>
  </si>
  <si>
    <t>665 Enrolled; 665 Gradutes</t>
  </si>
  <si>
    <t>2,696 Enrolled; 2,696 Graduates</t>
  </si>
  <si>
    <t>1,919 Enrolled; 1,919 Graduates</t>
  </si>
  <si>
    <t>1,457 Enrolled; 1,457 Graduates</t>
  </si>
  <si>
    <t>429 Enrolled; 307 Graduates</t>
  </si>
  <si>
    <t>232 Enrolled; 146 Graduates</t>
  </si>
  <si>
    <t>782 Enrolled; 782 Graduates</t>
  </si>
  <si>
    <t>159 Enrolled; 156 Graduates</t>
  </si>
  <si>
    <t>680 Enrolled; 680 Graduates</t>
  </si>
  <si>
    <t>471 Enrolled; 471 Graduates</t>
  </si>
  <si>
    <t>307 Enrolled; 307 Graduates</t>
  </si>
  <si>
    <t>436 Enrolled; 436 Graduates</t>
  </si>
  <si>
    <t>1000 Enrolled; 1000 Graduates</t>
  </si>
  <si>
    <t>210 Enrolled</t>
  </si>
  <si>
    <t>165 Enrolled ; 165 Graduates</t>
  </si>
  <si>
    <t>100 Enrolled; 100 Graduates</t>
  </si>
  <si>
    <t>1,129 Enrolled; 903 Graduates</t>
  </si>
  <si>
    <t>Stipend of 208 Registered Nurse for Health Enhancement and Local Service (RN Heals - Batch 2) deployed in BGHMC.</t>
  </si>
  <si>
    <t>Buninan FMR completed/opened.</t>
  </si>
  <si>
    <t>75 meter-road concrete along Besao-Sagada Road replaced.</t>
  </si>
  <si>
    <t>Constructed potable water supply (Phase II) for the Municipality of Bontoc.</t>
  </si>
  <si>
    <t>Hardware materials for the improvement of municipal streets were purchased, .280km street with road shoulder, gutter and sidewalk.</t>
  </si>
  <si>
    <t>Improved Gao-gao-Sumey-and FMR, purchased various office supplies.</t>
  </si>
  <si>
    <t>31 students were granted scholarships.</t>
  </si>
  <si>
    <t>Construction of NEDA-CAR Office Building (on-going, 70% completed)</t>
  </si>
  <si>
    <t xml:space="preserve">Seven projects completed, nine others in various stage of completion
note: 1,921B unobligated balance charged to support the procurement of equipment to enhance the Command’s capability to conduct Humanitarian Assistance and Disaster Relief (HADR) operations.
</t>
  </si>
  <si>
    <t>Some projects were already completed; others in various stages of completion
note: 5,716B unobligated balance charged to support the procurement of equipment to enhance the Command’s capability to conduct Humanitarian Assistance and Disaster Relief (HADR) operations.</t>
  </si>
  <si>
    <t>P492.29M only reflects SUCs disbursement</t>
  </si>
  <si>
    <t xml:space="preserve">Funded Research and Development projects of 44 SUCs as of March 31, 2014.
</t>
  </si>
  <si>
    <t>With MOA (PNP, CHED, MMDA, OP) - no accomplishments from said agencies
P3,048.65M reflects SUCS disbursement</t>
  </si>
  <si>
    <t>All projects including the identification survey and mapping of planting sites, planting stock collection and production, preparation of planting sites, out planting, hiring of park rangers, production of billboards, construction and rehabilitation of Visitor's Center, project management and supervision have been completed</t>
  </si>
  <si>
    <t>PN Heals Program</t>
  </si>
  <si>
    <t>no implementation</t>
  </si>
  <si>
    <t>unobligate as of Dec. 31, 2012 (unused/reverted)</t>
  </si>
  <si>
    <t>Financial Assistance for Livelihood Enhancement through Establishment of Duck Raising Cum-Entrepreneurship Project</t>
  </si>
  <si>
    <t>Indigent Patients Amas Kidapawan Prov'l Hospital</t>
  </si>
  <si>
    <t>implemented - rehabilitation of pob. Buluan, brgy. Maslabeng, FMR, Buluan, Maguinadanao; 2. Rehabilitation og Pob. Buluan, Brgy. Tumbao FMR, Buluan, Maguindanao</t>
  </si>
  <si>
    <t>Indigent Patients at Tamparan District Hospital</t>
  </si>
  <si>
    <t>Indigent Patients at Fr. Tulio Favali Hospital</t>
  </si>
  <si>
    <t>project completed- Construction of Youth Home-Implementation of Juvenile Justice Law</t>
  </si>
  <si>
    <t>project completed - Concreting of Road</t>
  </si>
  <si>
    <t>Project completed - Concreting of road from Brgy. Bangilan to Brgy. Banawag, Municipality of Kabacan, Province of Cotabato</t>
  </si>
  <si>
    <t>Repair of six km farm to market road from Brgy. Digal, Buluan, Mag to Buluan National Highway</t>
  </si>
  <si>
    <t>Project completed - Concreting of NHW JCT Maribulan-Alegria Provincial Road (Phase 1) in the Mun. Of Alabel, Sarangani</t>
  </si>
  <si>
    <t>Concreting of Kapatagan Provincial Road possibly connecting to the national highway leading to Cotabato City, Mag and GSC</t>
  </si>
  <si>
    <t>Construction of road at Junction National Highway San Vicente-Malaya Road located at Banga, South Cot</t>
  </si>
  <si>
    <t>1. Datu Abdullah Sangki, Mag</t>
  </si>
  <si>
    <t>2. Columbio, SK</t>
  </si>
  <si>
    <t>3. Ampatuan, Mag</t>
  </si>
  <si>
    <t>4. Gen. SK Pendatun, Mag</t>
  </si>
  <si>
    <t>5. Shariff Aguak, Mag.</t>
  </si>
  <si>
    <t>6. South Upi, Mag</t>
  </si>
  <si>
    <t>7. Masiu, LDS</t>
  </si>
  <si>
    <t>8. Malapatan, Sarangani</t>
  </si>
  <si>
    <t>9. Kiamba, Sarangani</t>
  </si>
  <si>
    <t>10. Maasim, Sarangani</t>
  </si>
  <si>
    <t>11. Malungon, Sarangani</t>
  </si>
  <si>
    <t>12. General Santos City</t>
  </si>
  <si>
    <t>13. Esperanza, SK</t>
  </si>
  <si>
    <t>14. Pagalungan, Mag</t>
  </si>
  <si>
    <t>15. Lutayan, SK</t>
  </si>
  <si>
    <t>16. Barira, Mag</t>
  </si>
  <si>
    <t>17. Buluan, Mag</t>
  </si>
  <si>
    <t>18. Datu Unsay, Mag</t>
  </si>
  <si>
    <t>19. Kabuntalan, Mag</t>
  </si>
  <si>
    <t>20. Matanog, Mag</t>
  </si>
  <si>
    <t>21. Sultan sa Barongis, Mag</t>
  </si>
  <si>
    <t>22. Lambayong, Mag</t>
  </si>
  <si>
    <t>23. Banisilan, Cotabato</t>
  </si>
  <si>
    <t>24. Palimbang, SK</t>
  </si>
  <si>
    <t>25. Poon-a-Bayabao, LDS</t>
  </si>
  <si>
    <t>Cash requirement of financial assistance for the priority programs and projects</t>
  </si>
  <si>
    <t>ON GOING - Construction of one-stop shop</t>
  </si>
  <si>
    <t>project completed - Award from seal of good housekeeping/ Construction of Kiddie Pool</t>
  </si>
  <si>
    <t>project completed - rehabilitation of Mun. Road- 1 Kilometer</t>
  </si>
  <si>
    <t xml:space="preserve"> Sarangani Province</t>
  </si>
  <si>
    <t>Mamasapano, Mag</t>
  </si>
  <si>
    <t>Tacurong City</t>
  </si>
  <si>
    <t>Cotabato Province</t>
  </si>
  <si>
    <t>Antipas, Cotabato</t>
  </si>
  <si>
    <t>Arakan, Cotabato</t>
  </si>
  <si>
    <t>Matalam, Cotabato</t>
  </si>
  <si>
    <t>Mlang, Cotabato</t>
  </si>
  <si>
    <t>Pikit, Cotabato</t>
  </si>
  <si>
    <t>Pres Roxas, Cotabato</t>
  </si>
  <si>
    <t>Tulunan, Cotabato</t>
  </si>
  <si>
    <t>Lake Sebu, South Cot</t>
  </si>
  <si>
    <t>Tampakan, South Cot</t>
  </si>
  <si>
    <t>Koronadal City</t>
  </si>
  <si>
    <t>Maguindanao Province</t>
  </si>
  <si>
    <t>South Cotabato Province</t>
  </si>
  <si>
    <t>Lanao del Sur Province</t>
  </si>
  <si>
    <t>Sultan Kudarat Province</t>
  </si>
  <si>
    <t>Cotabato City</t>
  </si>
  <si>
    <t>Alamada</t>
  </si>
  <si>
    <t>Aleosan</t>
  </si>
  <si>
    <t>Kabacan</t>
  </si>
  <si>
    <t>Libungan</t>
  </si>
  <si>
    <t xml:space="preserve"> Magpet</t>
  </si>
  <si>
    <t>Makilala</t>
  </si>
  <si>
    <t>Midsayap</t>
  </si>
  <si>
    <t>Pigcawayan</t>
  </si>
  <si>
    <t>Banga</t>
  </si>
  <si>
    <t>Norala</t>
  </si>
  <si>
    <t>Polomolok</t>
  </si>
  <si>
    <t>Surallah</t>
  </si>
  <si>
    <t>Tantangan</t>
  </si>
  <si>
    <t>T'boli</t>
  </si>
  <si>
    <t>Tupi</t>
  </si>
  <si>
    <t>Wao</t>
  </si>
  <si>
    <t>Datu Odin Sinsuat</t>
  </si>
  <si>
    <t>Datu Saudi Uy Ampatuan</t>
  </si>
  <si>
    <t>Guindulungan</t>
  </si>
  <si>
    <t>Paglat</t>
  </si>
  <si>
    <t>Parang</t>
  </si>
  <si>
    <t>Sultan Mastura</t>
  </si>
  <si>
    <t>Talayan</t>
  </si>
  <si>
    <t>Upi</t>
  </si>
  <si>
    <t>Alabel</t>
  </si>
  <si>
    <t>Bagumbayan</t>
  </si>
  <si>
    <t>Isulan</t>
  </si>
  <si>
    <t>Kalamansig</t>
  </si>
  <si>
    <t>Lebak</t>
  </si>
  <si>
    <t>Pres. Quirino</t>
  </si>
  <si>
    <t>Sen. Ninoy Aquino</t>
  </si>
  <si>
    <t>Award from Seal of Good Housekeeping/  Allocation to Day Care Centers to diff. brgys. - P 3.9M</t>
  </si>
  <si>
    <t>Construction of roads</t>
  </si>
  <si>
    <t>Construction of Napanlahan-Galag Road, Arakan, Cotabato</t>
  </si>
  <si>
    <t>Award from Seal of Good Housekeeping/ Purchase of Ambulance</t>
  </si>
  <si>
    <t>As of July 2014, 2,375 hectares or 95% of the target 2,500 have been developed, seedling production has 102% accomplishment or 5,383,300 seedlings out of the targeted 5,296,985</t>
  </si>
  <si>
    <t>All projects particularly the rehabilitation of polluted esteros, rivers and their tributaries on a nationwide scale have been completed. Clean up of esteros, rivers and river tributaries were done in Pateros, Quezon City, Valenzuela, Marikina City, and Taguig City in Metro Manila; Dagupan City and La Trinidad in Luzon, Ormoc City and Mandaue City in Visayas; and Davao City, Butuan City in Mindanao</t>
  </si>
  <si>
    <t>All projects particularly the establishment of MRFs implementation of Ecological Solid Waste Management in Metro Manila, information, education and communication on Solid Waste Management, and inventory of commercial establishments in Metro Manila have been completed.
1. Seven (7) selected barangays in Metro Manila were given support funds to establish and operate a MRF. 
2. A workshop with LGU on "How to start an Ecological Solid Waste Management System in Markets" was held on July 30-31 with LGU and their pilot public markets and associations.
3. A five-minute movie plug on solid waste management was produced MMDA entitled "Hiwalayan" and aired in selected cinemas.
4. A workshop with SWM Office and Business permits and Licensing Offices of LGUs was held on June 28, 2012 to discuss, among others, the roles of each in the implementation of the ESWM Program</t>
  </si>
  <si>
    <t xml:space="preserve"> Purchase/printing of various books, including braille, and IT equipment</t>
  </si>
  <si>
    <t>No disbursement yet</t>
  </si>
  <si>
    <t>8,331,739 scanned images (11.80%) from Strategic Implementation Agency Pilot (SIAP) Committee Member Agencies: NAP, Senate, DOST-ASTI, ICTO, PMS, OP</t>
  </si>
  <si>
    <t>100% accomplishment - Repair and Rehabilitation of the 5th Cavalry Monument and the Philippine Revolutionary Monument</t>
  </si>
  <si>
    <t>58 scholars</t>
  </si>
  <si>
    <t xml:space="preserve">100% construction of academic facilities (Library) at the Pedro Rebadulla Memorial Campus </t>
  </si>
  <si>
    <t>68% Construction of a Multi-Purpose Building in the UEP-Pedro Rebadulla Memorial College, Catubig, Northern Samar (DAP)</t>
  </si>
  <si>
    <t>Municipal gym bleacher fully concrete, stainless railings in good structural</t>
  </si>
  <si>
    <t xml:space="preserve">      Palompon Leyte </t>
  </si>
  <si>
    <t xml:space="preserve">      Calubian Leyte</t>
  </si>
  <si>
    <t>Aid to 13,381 indigents</t>
  </si>
  <si>
    <t xml:space="preserve">        Guiuan E. Samar</t>
  </si>
  <si>
    <t xml:space="preserve">      Calubian, Leyte</t>
  </si>
  <si>
    <t xml:space="preserve">      Biliran, Biliran</t>
  </si>
  <si>
    <t xml:space="preserve">      Palompon, Leyte</t>
  </si>
  <si>
    <t>Procured medicines and assistance to displaced persons</t>
  </si>
  <si>
    <t>Aid to 10,805 indigents</t>
  </si>
  <si>
    <t>CONST OF SEAWALL BAYBAY BOUEVARD, BORONGAN CITY</t>
  </si>
  <si>
    <t xml:space="preserve">        Baybay City </t>
  </si>
  <si>
    <t xml:space="preserve">         Tacloban City</t>
  </si>
  <si>
    <t xml:space="preserve">        Prov of No. Samar</t>
  </si>
  <si>
    <t xml:space="preserve">       Almagro No. Samar</t>
  </si>
  <si>
    <t xml:space="preserve">       Prov of Biliran</t>
  </si>
  <si>
    <t xml:space="preserve">    Abuyog, Leyte</t>
  </si>
  <si>
    <t xml:space="preserve">    Alangalang, Leyte</t>
  </si>
  <si>
    <t xml:space="preserve">    Catbalogan City, Samar</t>
  </si>
  <si>
    <t xml:space="preserve">      Almeria, Biliran</t>
  </si>
  <si>
    <t xml:space="preserve">      Naval, Biliran</t>
  </si>
  <si>
    <t xml:space="preserve">      Province of Leyte</t>
  </si>
  <si>
    <t xml:space="preserve">      Ormoc City, Leyte</t>
  </si>
  <si>
    <t xml:space="preserve">      Alangalang, Leyte</t>
  </si>
  <si>
    <t xml:space="preserve">      Burauen, Leyte</t>
  </si>
  <si>
    <t xml:space="preserve">      Jaro, Leyte</t>
  </si>
  <si>
    <t xml:space="preserve">        Hinunangan So. Leyte </t>
  </si>
  <si>
    <t xml:space="preserve">        Laoang No. Samar</t>
  </si>
  <si>
    <t>Rehabililtation of 6 brgys waterworks system</t>
  </si>
  <si>
    <t>Rehabilitation of 80 m. drainage</t>
  </si>
  <si>
    <t>Land Fill Development</t>
  </si>
  <si>
    <t>River Control at Brgy Badiangon 180 cu. M embankment; 542 cu. M slope protection</t>
  </si>
  <si>
    <t>Road concreting and reblocking and Brgy 1 &amp; 2</t>
  </si>
  <si>
    <t>Counterpart for the construction of farm to market road Brgy Suba Canyomanao</t>
  </si>
  <si>
    <t xml:space="preserve">    BILIRAN</t>
  </si>
  <si>
    <t xml:space="preserve">               Cabucgayan   -  500,000</t>
  </si>
  <si>
    <t xml:space="preserve">               Kawayan         -  500,000</t>
  </si>
  <si>
    <t xml:space="preserve">               Maripipi          -  400,000</t>
  </si>
  <si>
    <t xml:space="preserve">               Prov Biliran   -   5M</t>
  </si>
  <si>
    <t xml:space="preserve">    EASTERN SAMAR</t>
  </si>
  <si>
    <t xml:space="preserve">               Prov of E. Samar    - 15M</t>
  </si>
  <si>
    <t xml:space="preserve">               Balangiga   -  600,000</t>
  </si>
  <si>
    <t xml:space="preserve">               Dolores      -   1M</t>
  </si>
  <si>
    <t xml:space="preserve">                Hernani    -    400,000</t>
  </si>
  <si>
    <t xml:space="preserve">               Maydolong -  900,000</t>
  </si>
  <si>
    <t xml:space="preserve">               San Julian    - 600,000</t>
  </si>
  <si>
    <t xml:space="preserve">               Sulat             -  700,000</t>
  </si>
  <si>
    <t xml:space="preserve">    LEYTE</t>
  </si>
  <si>
    <t xml:space="preserve">               Babatngon  -  700,000</t>
  </si>
  <si>
    <t xml:space="preserve">               Calubian     -   700,000</t>
  </si>
  <si>
    <t xml:space="preserve">               Dagami       -    800,000</t>
  </si>
  <si>
    <t xml:space="preserve">               Palo             -    1M</t>
  </si>
  <si>
    <t xml:space="preserve">               Tanauan    -     900,000</t>
  </si>
  <si>
    <t xml:space="preserve">               Tacloban City   - 25M</t>
  </si>
  <si>
    <t xml:space="preserve">    NO. SAMAR</t>
  </si>
  <si>
    <t xml:space="preserve">                Prov No. Samar   - 15M</t>
  </si>
  <si>
    <t xml:space="preserve">                San Isidro             - 800,000</t>
  </si>
  <si>
    <t xml:space="preserve">    SO. LEYTE</t>
  </si>
  <si>
    <t xml:space="preserve">                 Hinundayan    -  500,000</t>
  </si>
  <si>
    <t xml:space="preserve">                 Macrohon        -  700,000</t>
  </si>
  <si>
    <t xml:space="preserve">                 Maasin             -   20M</t>
  </si>
  <si>
    <t xml:space="preserve">    SAMAR</t>
  </si>
  <si>
    <t xml:space="preserve">                  Calbiga       -  800,000</t>
  </si>
  <si>
    <t xml:space="preserve">                  Marabut    -   600,000</t>
  </si>
  <si>
    <t>REHAB IMPROVEMENT DAMPIGAN FMR DOLORES / REPAIR IMPROVEMENT CAMADA CABALAGNAN CANHUPAY, FMR BORONGAN CITY</t>
  </si>
  <si>
    <t>Const. of Public Market Phase II</t>
  </si>
  <si>
    <t>Construction of drainage canal farm to market road</t>
  </si>
  <si>
    <t>Education and Health Programs</t>
  </si>
  <si>
    <t>Farm to Market Road</t>
  </si>
  <si>
    <t>Rehabilitation of brgy roads</t>
  </si>
  <si>
    <t>Medical clinic constructed. Road concreted</t>
  </si>
  <si>
    <t>280 square meter of PCCP</t>
  </si>
  <si>
    <t>360 linear meters half lane2.5 meters width</t>
  </si>
  <si>
    <t>Improvement of Maasin City complex. Procurement of Equipments and installation o maternal care. Acquired lot for Slaughterhouse. 75% completion of water system. Partial completion of farm to market road. Construction of Flood control structures</t>
  </si>
  <si>
    <t>Construction of one drainage system of Brgy Catato</t>
  </si>
  <si>
    <t xml:space="preserve">35 scholars </t>
  </si>
  <si>
    <t>458 scholars/student grantees</t>
  </si>
  <si>
    <t>896 scholars</t>
  </si>
  <si>
    <t xml:space="preserve">        Palo Leyte</t>
  </si>
  <si>
    <t xml:space="preserve">        Javier Leyte</t>
  </si>
  <si>
    <t xml:space="preserve">        Matalom Leyte</t>
  </si>
  <si>
    <t xml:space="preserve">       Tolosa Leyte</t>
  </si>
  <si>
    <t xml:space="preserve">        Hinabangan Samar</t>
  </si>
  <si>
    <t>Medicines for medical missions</t>
  </si>
  <si>
    <t xml:space="preserve">      Matuguinao, Samar</t>
  </si>
  <si>
    <t xml:space="preserve">      Almagro, Samar</t>
  </si>
  <si>
    <t xml:space="preserve">      Tarangnan, Samar</t>
  </si>
  <si>
    <t>Province of Biliran</t>
  </si>
  <si>
    <t>Tolosa Leyte</t>
  </si>
  <si>
    <t>Javier Leyte</t>
  </si>
  <si>
    <t>Matalom Leyte</t>
  </si>
  <si>
    <t>Daram Samar</t>
  </si>
  <si>
    <t>Almagro Samar</t>
  </si>
  <si>
    <t>Basey Samar</t>
  </si>
  <si>
    <t>Gandara Samar</t>
  </si>
  <si>
    <t>Jiabong Samar</t>
  </si>
  <si>
    <t>Marabut Samar</t>
  </si>
  <si>
    <t>Pagsanghan Samar</t>
  </si>
  <si>
    <t>San Jorge Samar</t>
  </si>
  <si>
    <t>San Jose de Buan Samar</t>
  </si>
  <si>
    <t>Sta. Margarita Samar</t>
  </si>
  <si>
    <t>Sta. Rita Samar</t>
  </si>
  <si>
    <t>Sto. Nino Samar</t>
  </si>
  <si>
    <t>Tarangnan Samar</t>
  </si>
  <si>
    <t>Villareal Samar</t>
  </si>
  <si>
    <t>416 member Philhealth premiums</t>
  </si>
  <si>
    <t>682 member Philhealth premiums</t>
  </si>
  <si>
    <t>500 member Philhealth premiums</t>
  </si>
  <si>
    <t>Repainting of multi purpose building</t>
  </si>
  <si>
    <t>Procured medicines for indigent patients @Felipe Abrigo Memorial Hospital</t>
  </si>
  <si>
    <t>Balangiga E. Samar</t>
  </si>
  <si>
    <t>Almeria Biliran</t>
  </si>
  <si>
    <t>Biliran Biliran</t>
  </si>
  <si>
    <t>Cabucgayan Biliran</t>
  </si>
  <si>
    <t>Maripipi Biliran</t>
  </si>
  <si>
    <t>Albuera Leyte</t>
  </si>
  <si>
    <t>Mac Arthur Leyte</t>
  </si>
  <si>
    <t>Motiong Samar</t>
  </si>
  <si>
    <t>All medicine procured</t>
  </si>
  <si>
    <t>Purchase of medicines and medical supplies</t>
  </si>
  <si>
    <t>15,500 assistance for medical missions</t>
  </si>
  <si>
    <t>Granted cash advance to purchase medicine. Lab test, diagnostix and therapeutic procedure for indigents seeking medical assistance</t>
  </si>
  <si>
    <t>Aid to 177 indigents</t>
  </si>
  <si>
    <t xml:space="preserve">       Province of Biliran</t>
  </si>
  <si>
    <t xml:space="preserve">       Hinundayan, So. Leyte</t>
  </si>
  <si>
    <t xml:space="preserve">       Silago, So. Leyte</t>
  </si>
  <si>
    <t xml:space="preserve">       Catbalogan City*</t>
  </si>
  <si>
    <t>Medical Asst for Indigent, CIDDS Program, Scholarship Program</t>
  </si>
  <si>
    <t>Aid to 1934 indigents</t>
  </si>
  <si>
    <t>Sulat E. Samar</t>
  </si>
  <si>
    <t>Arteche E. Samar</t>
  </si>
  <si>
    <t>Lawaan E. Samar</t>
  </si>
  <si>
    <t>Upgrading of catumsan-aguinaldo FMR</t>
  </si>
  <si>
    <t>Paranas Samar</t>
  </si>
  <si>
    <t>Hinabangan Samar</t>
  </si>
  <si>
    <t>Catbalogan Samar</t>
  </si>
  <si>
    <t>Medicines and medical services</t>
  </si>
  <si>
    <t>Procurement of medicines and medical services for 24 barangays</t>
  </si>
  <si>
    <t>A.     Anonang Burauen</t>
  </si>
  <si>
    <t xml:space="preserve">    Cadahunan Burauen</t>
  </si>
  <si>
    <t xml:space="preserve">     Bagong Lipinan Carigara</t>
  </si>
  <si>
    <t xml:space="preserve">     Balilit Carigara</t>
  </si>
  <si>
    <t xml:space="preserve">     Barayong Carigara</t>
  </si>
  <si>
    <t xml:space="preserve">     Barugohay Central Carigara</t>
  </si>
  <si>
    <t xml:space="preserve">     Barugohay Norte Carigara</t>
  </si>
  <si>
    <t xml:space="preserve">     Barugohay SUr Carigara</t>
  </si>
  <si>
    <t xml:space="preserve">     Carigara Leyte</t>
  </si>
  <si>
    <t xml:space="preserve">      Bislig Carigara</t>
  </si>
  <si>
    <t xml:space="preserve">      Caghalo Carigara</t>
  </si>
  <si>
    <t xml:space="preserve">      Camansi Carigara</t>
  </si>
  <si>
    <t xml:space="preserve">      Canal Carigara</t>
  </si>
  <si>
    <t xml:space="preserve">      Cogon Carigara</t>
  </si>
  <si>
    <t xml:space="preserve">      Cutay Carigara</t>
  </si>
  <si>
    <t xml:space="preserve">      Hiluctogan Carigara</t>
  </si>
  <si>
    <t xml:space="preserve">       Macalpi Carigara</t>
  </si>
  <si>
    <t xml:space="preserve">       Manloy Carigara</t>
  </si>
  <si>
    <t xml:space="preserve">       Pangna Carigara</t>
  </si>
  <si>
    <t xml:space="preserve">       Parag-um Carigara</t>
  </si>
  <si>
    <t xml:space="preserve">       Parena (Pob) Carigara</t>
  </si>
  <si>
    <t xml:space="preserve">        Piloro Carigara</t>
  </si>
  <si>
    <t xml:space="preserve">        Rizal Carigara</t>
  </si>
  <si>
    <t xml:space="preserve">        Sagkahan Carigara</t>
  </si>
  <si>
    <t xml:space="preserve">        San Isidro Carigara</t>
  </si>
  <si>
    <t xml:space="preserve">        San Juan Carigara</t>
  </si>
  <si>
    <t xml:space="preserve">       Tagak Carigara</t>
  </si>
  <si>
    <t xml:space="preserve">       Carigara Leyte</t>
  </si>
  <si>
    <t xml:space="preserve">        Tigbao Carigara</t>
  </si>
  <si>
    <t xml:space="preserve">       West Visoria Carigara</t>
  </si>
  <si>
    <t xml:space="preserve">       Buenavista Dagami</t>
  </si>
  <si>
    <t>B.    Cantabi Carigara</t>
  </si>
  <si>
    <t xml:space="preserve">       East Visoria Carigara</t>
  </si>
  <si>
    <t xml:space="preserve">       Guindapunan West, Carigara</t>
  </si>
  <si>
    <t xml:space="preserve">       Lower Hiraan, Carigara</t>
  </si>
  <si>
    <t xml:space="preserve">       Lower Sugod Carigara</t>
  </si>
  <si>
    <t xml:space="preserve">        Nauguisan Carigara</t>
  </si>
  <si>
    <t xml:space="preserve">        Pagla-um Carigara</t>
  </si>
  <si>
    <t xml:space="preserve">        Upper Hiraaan Carigara</t>
  </si>
  <si>
    <t xml:space="preserve">         Upper Sogod Carigara</t>
  </si>
  <si>
    <t xml:space="preserve">         Uwayan Carigara</t>
  </si>
  <si>
    <t>C.   Brgy Guindapunan East Carigara</t>
  </si>
  <si>
    <t>D.  Brgy Libo Carigara</t>
  </si>
  <si>
    <t>E.   Brgy Jugaban PoB</t>
  </si>
  <si>
    <t>F.   Brgy Santa Fe Carigara</t>
  </si>
  <si>
    <t>G.  Brgy Dinaayan Burauen</t>
  </si>
  <si>
    <t>H.  Brgy Ponong Pob Carigara</t>
  </si>
  <si>
    <t>I.  Brgy Kalaw, San Mateo Carigara</t>
  </si>
  <si>
    <t>Allen No. Samar</t>
  </si>
  <si>
    <t>Capul No. Samar</t>
  </si>
  <si>
    <t>Brgy DONA Lucia Mondragon</t>
  </si>
  <si>
    <t>Mapanas, No. Samar</t>
  </si>
  <si>
    <t>Bobon No. Samar</t>
  </si>
  <si>
    <t xml:space="preserve">     From Tabango to Sta. Margarita, Samar </t>
  </si>
  <si>
    <t xml:space="preserve">      Jiabong, Samar    </t>
  </si>
  <si>
    <t xml:space="preserve">      Calubian, Leyte     </t>
  </si>
  <si>
    <t xml:space="preserve">      Barugo, Leyte       </t>
  </si>
  <si>
    <t xml:space="preserve">      Palompon , Leyte</t>
  </si>
  <si>
    <t xml:space="preserve">      Cabucgayan Biliran </t>
  </si>
  <si>
    <t xml:space="preserve">      Silago So. Leyte</t>
  </si>
  <si>
    <t xml:space="preserve">      Libagon So. Leyte</t>
  </si>
  <si>
    <t>Aid to 3,950 indigents</t>
  </si>
  <si>
    <t>Provisions of medicines to indigent patients</t>
  </si>
  <si>
    <t>1050 patients availed of the medicines</t>
  </si>
  <si>
    <t>Hindang Leyte</t>
  </si>
  <si>
    <t>Mahaplag Leyte</t>
  </si>
  <si>
    <t>Culaba Biliran</t>
  </si>
  <si>
    <t>Caibiran Biliran</t>
  </si>
  <si>
    <t>Conduct and purchase of medicine for medical mission</t>
  </si>
  <si>
    <t>Purchase of medicine</t>
  </si>
  <si>
    <t>Purchase of medicine- aid to indigent</t>
  </si>
  <si>
    <t>Lllorente</t>
  </si>
  <si>
    <t>Dolores</t>
  </si>
  <si>
    <t>Rehab of Brgy Baybay Road</t>
  </si>
  <si>
    <t>STREET CONCRETING BRGY 11</t>
  </si>
  <si>
    <t>Based on the amount provided, 1,341,733.75 cu.m of waste disposed at MMDA accredited sanitary landfills was paid</t>
  </si>
  <si>
    <t>of which:</t>
  </si>
  <si>
    <t>MMDA</t>
  </si>
  <si>
    <t>a. Supply and Installation of LED Traffic Signal Lantern Assembly including removal of Old Incandescent types signal lanterns and 38 signalized intersection - Phase 1 amounting to P38.8M
b. Widening/Riprapping along Vente Reales Creek, Vente Reales District, PHilippine Guns, Club Creek, Marulas, Valenzuela City amounting to P9.3M
c. Drainage improvement along Pearl S. Deva Village, Lower Bicutan, Balleser St.,Signal Village, Upper Bicutan, Taguig City amounting to P9.4M
d. Rehabilitation/Riprapping, Dreadging/Deepening of Estero Tripa De Gallina, Brgy. Palanan District, Makati amounting to P9.4M
e. Repair/Rehabilitation of Riprap and Construction of Covered opened canal and drainage system along bayanan and summit circle, Muntinlpa City amounting to P5.6M</t>
  </si>
  <si>
    <t>General Administration and Support Services/Support to Operations/Operations, including the Requirements for the GRP-MILF Activities amounting to P100,000,000</t>
  </si>
  <si>
    <t>General Management and Supervision, including P100,000,000 for confidential and intelligence expenses to be released upon approval of the President</t>
  </si>
  <si>
    <t xml:space="preserve">B.II.b  </t>
  </si>
  <si>
    <t>Mindanao Rural Development Project, APL 2 (IBRD)</t>
  </si>
  <si>
    <t>B.I.b.m</t>
  </si>
  <si>
    <t>Field Operation of Alternative Learning System including implementation of Accreditation and Equivalency System</t>
  </si>
  <si>
    <t>Field operations of Alternative Learning Systems including Implementation of Accreditation and Equivalent System</t>
  </si>
  <si>
    <t>Research and Management Services</t>
  </si>
  <si>
    <t xml:space="preserve"> Protective Services for individuals and families in especially difficult circumstances including P100,000 assistance to victims of involuntary disappearance and members of their families upon coordination with the Families of involuntary Disappearance (FIND)</t>
  </si>
  <si>
    <t>A.III.c.2.a 
A.III.c.2.a.6</t>
  </si>
  <si>
    <t>Operation and Maintenance of Regional Offices
Region IV</t>
  </si>
  <si>
    <t>A.III.c.1</t>
  </si>
  <si>
    <t>For Financial Assistance to LGUs as NG counterpart for the premium contributions of indigent enrolled in the NHIP in accordance with the premium sharing scheme between the NG and the LGU.</t>
  </si>
  <si>
    <t>A.II 
A.II.a</t>
  </si>
  <si>
    <t>Operations
For the Operational Requirements of the Film Development Council of the Philippines pursuant to Ra 9167</t>
  </si>
  <si>
    <t>Conduct of Policy Researches, Provision of Technical Services and Coordination and Monitoring Activities on Gender and Development</t>
  </si>
  <si>
    <t>Funds for the development of 2,500 hectares for the National Greening Program for the Regional Office and five (5) PENROs in ARMM per Annex "A" (Annex A includes: ROXIII-P2.206M, PENRO-Maguindanao-P18.2336M, Lanao del Sur-P16.7374M, Basilan-P3.464M, Sulu-P7.070M, Tawi-Tawi-P1.875M)</t>
  </si>
  <si>
    <t>PAWB-CO:  For biodiversity, conservation, payment for park rangers and putting up of facilities needed for the preservation of the said protected areas (Batanes Island Protected Landscape-P1M, Northern Sierra Madre National Park-P1M, Mt. Hamiguitan Wildlife Sanctuary-P1M, Mimbillean Protected Lndscape-P1M, Mt. Kanlaon National Park-P1M)</t>
  </si>
</sst>
</file>

<file path=xl/styles.xml><?xml version="1.0" encoding="utf-8"?>
<styleSheet xmlns="http://schemas.openxmlformats.org/spreadsheetml/2006/main">
  <numFmts count="10">
    <numFmt numFmtId="41" formatCode="_(* #,##0_);_(* \(#,##0\);_(* &quot;-&quot;_);_(@_)"/>
    <numFmt numFmtId="43" formatCode="_(* #,##0.00_);_(* \(#,##0.00\);_(* &quot;-&quot;??_);_(@_)"/>
    <numFmt numFmtId="164" formatCode="_(* #,##0_);_(* \(#,##0\);_(* &quot;-&quot;??_);_(@_)"/>
    <numFmt numFmtId="165" formatCode="[$-3409]dd\-mmm\-yy;@"/>
    <numFmt numFmtId="166" formatCode="m/d/yy;@"/>
    <numFmt numFmtId="167" formatCode="mm/dd/yy;@"/>
    <numFmt numFmtId="168" formatCode="mm/dd/yy"/>
    <numFmt numFmtId="169" formatCode="_(* #,##0.00_);_(* \(#,##0.00\);_(* &quot;-&quot;_);_(@_)"/>
    <numFmt numFmtId="170" formatCode="_(* #,##0.000_);_(* \(#,##0.000\);_(* &quot;-&quot;??_);_(@_)"/>
    <numFmt numFmtId="171" formatCode="&quot;$&quot;#,##0.00"/>
  </numFmts>
  <fonts count="28">
    <font>
      <sz val="11"/>
      <color theme="1"/>
      <name val="Calibri"/>
      <family val="2"/>
      <scheme val="minor"/>
    </font>
    <font>
      <sz val="11"/>
      <color theme="1"/>
      <name val="Calibri"/>
      <family val="2"/>
      <scheme val="minor"/>
    </font>
    <font>
      <b/>
      <sz val="11"/>
      <name val="Calibri"/>
      <family val="2"/>
    </font>
    <font>
      <sz val="10"/>
      <name val="Arial"/>
      <family val="2"/>
    </font>
    <font>
      <sz val="11"/>
      <name val="Calibri"/>
      <family val="2"/>
      <scheme val="minor"/>
    </font>
    <font>
      <sz val="11"/>
      <name val="Calibri"/>
      <family val="2"/>
    </font>
    <font>
      <sz val="12"/>
      <color indexed="8"/>
      <name val="Calibri"/>
      <family val="2"/>
    </font>
    <font>
      <sz val="11"/>
      <color indexed="8"/>
      <name val="Calibri"/>
      <family val="2"/>
    </font>
    <font>
      <sz val="12"/>
      <color theme="1"/>
      <name val="Calibri"/>
      <family val="2"/>
      <scheme val="minor"/>
    </font>
    <font>
      <b/>
      <sz val="11"/>
      <name val="Calibri"/>
      <family val="2"/>
      <scheme val="minor"/>
    </font>
    <font>
      <sz val="10"/>
      <name val="Arial Narrow"/>
      <family val="2"/>
    </font>
    <font>
      <b/>
      <sz val="10"/>
      <name val="Arial Narrow"/>
      <family val="2"/>
    </font>
    <font>
      <sz val="10"/>
      <name val="Calibri"/>
      <family val="2"/>
    </font>
    <font>
      <b/>
      <sz val="9"/>
      <color indexed="81"/>
      <name val="Tahoma"/>
      <family val="2"/>
    </font>
    <font>
      <sz val="9"/>
      <color indexed="81"/>
      <name val="Tahoma"/>
      <family val="2"/>
    </font>
    <font>
      <sz val="11"/>
      <name val="Arial Narrow"/>
      <family val="2"/>
    </font>
    <font>
      <b/>
      <sz val="11"/>
      <name val="Arial Narrow"/>
      <family val="2"/>
    </font>
    <font>
      <b/>
      <sz val="11"/>
      <name val="Arial"/>
      <family val="2"/>
    </font>
    <font>
      <b/>
      <sz val="10"/>
      <name val="Calibri"/>
      <family val="2"/>
    </font>
    <font>
      <b/>
      <sz val="10"/>
      <name val="Arial"/>
      <family val="2"/>
    </font>
    <font>
      <i/>
      <sz val="11"/>
      <name val="Calibri"/>
      <family val="2"/>
    </font>
    <font>
      <b/>
      <sz val="8"/>
      <name val="Calibri"/>
      <family val="2"/>
      <scheme val="minor"/>
    </font>
    <font>
      <b/>
      <sz val="8"/>
      <name val="Calibri"/>
      <family val="2"/>
    </font>
    <font>
      <sz val="9"/>
      <name val="Calibri"/>
      <family val="2"/>
    </font>
    <font>
      <sz val="8"/>
      <name val="Calibri"/>
      <family val="2"/>
    </font>
    <font>
      <b/>
      <i/>
      <sz val="11"/>
      <name val="Calibri"/>
      <family val="2"/>
      <scheme val="minor"/>
    </font>
    <font>
      <sz val="8"/>
      <name val="Calibri"/>
      <family val="2"/>
      <scheme val="minor"/>
    </font>
    <font>
      <sz val="9"/>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rgb="FF000000"/>
      </bottom>
      <diagonal/>
    </border>
    <border>
      <left style="hair">
        <color indexed="64"/>
      </left>
      <right/>
      <top/>
      <bottom/>
      <diagonal/>
    </border>
  </borders>
  <cellStyleXfs count="18">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9" fontId="1" fillId="0" borderId="0" applyFont="0" applyFill="0" applyBorder="0" applyAlignment="0" applyProtection="0"/>
  </cellStyleXfs>
  <cellXfs count="1392">
    <xf numFmtId="0" fontId="0" fillId="0" borderId="0" xfId="0"/>
    <xf numFmtId="0" fontId="2" fillId="2" borderId="0" xfId="0" applyFont="1" applyFill="1"/>
    <xf numFmtId="0" fontId="2" fillId="2" borderId="0" xfId="0" applyFont="1" applyFill="1" applyAlignment="1">
      <alignment horizontal="center"/>
    </xf>
    <xf numFmtId="0" fontId="4" fillId="0" borderId="0" xfId="0" applyFont="1"/>
    <xf numFmtId="164" fontId="2" fillId="0" borderId="0" xfId="2" applyNumberFormat="1" applyFont="1" applyFill="1" applyAlignment="1">
      <alignment horizontal="left" vertical="top"/>
    </xf>
    <xf numFmtId="165" fontId="2" fillId="0" borderId="0" xfId="2" applyNumberFormat="1" applyFont="1" applyFill="1" applyAlignment="1">
      <alignment horizontal="center" vertical="top"/>
    </xf>
    <xf numFmtId="164" fontId="2" fillId="0" borderId="0" xfId="2" applyNumberFormat="1" applyFont="1" applyFill="1" applyBorder="1" applyAlignment="1">
      <alignment vertical="top"/>
    </xf>
    <xf numFmtId="164" fontId="2" fillId="0" borderId="2" xfId="2" applyNumberFormat="1" applyFont="1" applyFill="1" applyBorder="1" applyAlignment="1">
      <alignment vertical="top"/>
    </xf>
    <xf numFmtId="164" fontId="2" fillId="0" borderId="0" xfId="2" applyNumberFormat="1" applyFont="1" applyFill="1" applyAlignment="1">
      <alignment horizontal="center"/>
    </xf>
    <xf numFmtId="164" fontId="2" fillId="0" borderId="0" xfId="2" applyNumberFormat="1" applyFont="1" applyFill="1"/>
    <xf numFmtId="164" fontId="5" fillId="0" borderId="0" xfId="2" applyNumberFormat="1" applyFont="1" applyFill="1" applyBorder="1" applyAlignment="1">
      <alignment vertical="top"/>
    </xf>
    <xf numFmtId="164" fontId="5" fillId="0" borderId="3" xfId="2" applyNumberFormat="1" applyFont="1" applyFill="1" applyBorder="1" applyAlignment="1">
      <alignment vertical="top"/>
    </xf>
    <xf numFmtId="164" fontId="5" fillId="0" borderId="0" xfId="2" applyNumberFormat="1" applyFont="1" applyFill="1" applyAlignment="1">
      <alignment vertical="top" wrapText="1"/>
    </xf>
    <xf numFmtId="165" fontId="5" fillId="0" borderId="0" xfId="2" quotePrefix="1" applyNumberFormat="1" applyFont="1" applyFill="1" applyAlignment="1">
      <alignment horizontal="center" vertical="top"/>
    </xf>
    <xf numFmtId="164" fontId="5" fillId="0" borderId="0" xfId="2" applyNumberFormat="1" applyFont="1" applyFill="1" applyAlignment="1">
      <alignment vertical="top"/>
    </xf>
    <xf numFmtId="164" fontId="5" fillId="0" borderId="0" xfId="2" applyNumberFormat="1" applyFont="1" applyAlignment="1">
      <alignment vertical="top"/>
    </xf>
    <xf numFmtId="164" fontId="5" fillId="0" borderId="0" xfId="2" applyNumberFormat="1" applyFont="1" applyFill="1"/>
    <xf numFmtId="164" fontId="5" fillId="0" borderId="0" xfId="2" applyNumberFormat="1" applyFont="1" applyFill="1" applyAlignment="1">
      <alignment horizontal="left" vertical="top" wrapText="1" indent="1"/>
    </xf>
    <xf numFmtId="164" fontId="5" fillId="0" borderId="0" xfId="3" applyNumberFormat="1" applyFont="1" applyFill="1" applyAlignment="1">
      <alignment vertical="top" wrapText="1"/>
    </xf>
    <xf numFmtId="0" fontId="5" fillId="0" borderId="0" xfId="4" applyFont="1" applyFill="1" applyAlignment="1">
      <alignment horizontal="center" vertical="top"/>
    </xf>
    <xf numFmtId="165" fontId="5" fillId="0" borderId="0" xfId="3" quotePrefix="1" applyNumberFormat="1" applyFont="1" applyFill="1" applyAlignment="1">
      <alignment horizontal="center" vertical="top"/>
    </xf>
    <xf numFmtId="164" fontId="5" fillId="0" borderId="0" xfId="3" applyNumberFormat="1" applyFont="1" applyFill="1" applyBorder="1" applyAlignment="1">
      <alignment vertical="top"/>
    </xf>
    <xf numFmtId="164" fontId="5" fillId="0" borderId="0" xfId="3" applyNumberFormat="1" applyFont="1" applyFill="1" applyAlignment="1">
      <alignment vertical="top"/>
    </xf>
    <xf numFmtId="164" fontId="5" fillId="0" borderId="0" xfId="3" applyNumberFormat="1" applyFont="1" applyFill="1" applyAlignment="1">
      <alignment horizontal="center" vertical="top"/>
    </xf>
    <xf numFmtId="0" fontId="5" fillId="0" borderId="0" xfId="4" applyFont="1" applyFill="1" applyAlignment="1"/>
    <xf numFmtId="164" fontId="5" fillId="0" borderId="0" xfId="4" applyNumberFormat="1" applyFont="1" applyFill="1" applyAlignment="1">
      <alignment vertical="top"/>
    </xf>
    <xf numFmtId="165" fontId="5" fillId="0" borderId="0" xfId="2" applyNumberFormat="1" applyFont="1" applyFill="1" applyAlignment="1">
      <alignment horizontal="center" vertical="top"/>
    </xf>
    <xf numFmtId="164" fontId="2" fillId="0" borderId="0" xfId="2" applyNumberFormat="1" applyFont="1" applyFill="1" applyAlignment="1">
      <alignment horizontal="left" vertical="top" indent="1"/>
    </xf>
    <xf numFmtId="0" fontId="5" fillId="0" borderId="0" xfId="4" applyFont="1" applyFill="1" applyAlignment="1">
      <alignment vertical="top"/>
    </xf>
    <xf numFmtId="165" fontId="5" fillId="0" borderId="0" xfId="4" quotePrefix="1" applyNumberFormat="1" applyFont="1" applyFill="1" applyAlignment="1">
      <alignment horizontal="center" vertical="top"/>
    </xf>
    <xf numFmtId="0" fontId="4" fillId="0" borderId="0" xfId="0" applyFont="1" applyFill="1"/>
    <xf numFmtId="0" fontId="4" fillId="0" borderId="0" xfId="0" applyFont="1" applyFill="1" applyAlignment="1">
      <alignment vertical="top"/>
    </xf>
    <xf numFmtId="0" fontId="4" fillId="0" borderId="0" xfId="0" applyFont="1" applyFill="1" applyAlignment="1">
      <alignment horizontal="center" vertical="top"/>
    </xf>
    <xf numFmtId="164" fontId="5" fillId="0" borderId="0" xfId="2" applyNumberFormat="1" applyFont="1" applyFill="1" applyAlignment="1">
      <alignment horizontal="left" vertical="top" wrapText="1" indent="2"/>
    </xf>
    <xf numFmtId="164" fontId="2" fillId="0" borderId="0" xfId="3" applyNumberFormat="1" applyFont="1" applyFill="1" applyAlignment="1">
      <alignment vertical="top" wrapText="1"/>
    </xf>
    <xf numFmtId="164" fontId="2" fillId="0" borderId="0" xfId="3" applyNumberFormat="1" applyFont="1" applyFill="1" applyBorder="1" applyAlignment="1">
      <alignment vertical="top"/>
    </xf>
    <xf numFmtId="164" fontId="2" fillId="0" borderId="2" xfId="3" applyNumberFormat="1" applyFont="1" applyFill="1" applyBorder="1" applyAlignment="1">
      <alignment vertical="top"/>
    </xf>
    <xf numFmtId="164" fontId="2" fillId="0" borderId="0" xfId="3" applyNumberFormat="1" applyFont="1" applyFill="1" applyBorder="1" applyAlignment="1">
      <alignment horizontal="center" vertical="top"/>
    </xf>
    <xf numFmtId="164" fontId="2" fillId="0" borderId="0" xfId="3" applyNumberFormat="1" applyFont="1" applyFill="1" applyAlignment="1">
      <alignment vertical="top"/>
    </xf>
    <xf numFmtId="0" fontId="5" fillId="0" borderId="0" xfId="0" applyFont="1" applyFill="1" applyAlignment="1"/>
    <xf numFmtId="164" fontId="5" fillId="0" borderId="0" xfId="3" applyNumberFormat="1" applyFont="1" applyFill="1" applyAlignment="1"/>
    <xf numFmtId="0" fontId="5" fillId="0" borderId="0" xfId="0" applyFont="1" applyFill="1"/>
    <xf numFmtId="0" fontId="5" fillId="0" borderId="0" xfId="0" applyFont="1" applyFill="1" applyBorder="1"/>
    <xf numFmtId="0" fontId="4" fillId="0" borderId="0" xfId="0" applyFont="1" applyFill="1" applyAlignment="1">
      <alignment horizontal="center"/>
    </xf>
    <xf numFmtId="0" fontId="2" fillId="0" borderId="0" xfId="6" applyNumberFormat="1" applyFont="1" applyFill="1" applyBorder="1" applyAlignment="1">
      <alignment horizontal="left" wrapText="1" indent="2"/>
    </xf>
    <xf numFmtId="0" fontId="2" fillId="0" borderId="0" xfId="0" applyFont="1"/>
    <xf numFmtId="0" fontId="4" fillId="0" borderId="0" xfId="0" applyFont="1" applyAlignment="1">
      <alignment horizontal="center"/>
    </xf>
    <xf numFmtId="0" fontId="2" fillId="0" borderId="0" xfId="0" applyFont="1" applyBorder="1" applyAlignment="1">
      <alignment horizontal="center" vertical="center"/>
    </xf>
    <xf numFmtId="164" fontId="2" fillId="0" borderId="0" xfId="2" applyNumberFormat="1" applyFont="1" applyFill="1" applyBorder="1" applyAlignment="1">
      <alignment horizontal="center" vertical="center" wrapText="1"/>
    </xf>
    <xf numFmtId="164" fontId="2" fillId="0" borderId="0" xfId="2" applyNumberFormat="1" applyFont="1" applyFill="1" applyBorder="1" applyAlignment="1">
      <alignment horizontal="center" vertical="center"/>
    </xf>
    <xf numFmtId="165" fontId="2" fillId="0" borderId="0" xfId="2" applyNumberFormat="1" applyFont="1" applyFill="1" applyBorder="1" applyAlignment="1">
      <alignment horizontal="center" vertical="center" wrapText="1"/>
    </xf>
    <xf numFmtId="166" fontId="2" fillId="0" borderId="0" xfId="3" applyNumberFormat="1" applyFont="1" applyFill="1" applyBorder="1" applyAlignment="1">
      <alignment horizontal="center" vertical="center" wrapText="1"/>
    </xf>
    <xf numFmtId="164" fontId="2" fillId="0" borderId="0" xfId="3" applyNumberFormat="1" applyFont="1" applyFill="1" applyBorder="1" applyAlignment="1">
      <alignment horizontal="center" vertical="center" wrapText="1"/>
    </xf>
    <xf numFmtId="0" fontId="2" fillId="0" borderId="0" xfId="0" applyFont="1" applyBorder="1" applyAlignment="1">
      <alignment horizontal="left" vertical="center"/>
    </xf>
    <xf numFmtId="164" fontId="2" fillId="0" borderId="0" xfId="3" applyNumberFormat="1" applyFont="1" applyFill="1" applyAlignment="1">
      <alignment horizontal="left" vertical="top" indent="1"/>
    </xf>
    <xf numFmtId="0" fontId="5" fillId="0" borderId="0" xfId="4" applyFont="1" applyFill="1" applyBorder="1" applyAlignment="1">
      <alignment horizontal="center" vertical="top" wrapText="1"/>
    </xf>
    <xf numFmtId="165" fontId="5" fillId="0" borderId="0" xfId="4" applyNumberFormat="1" applyFont="1" applyFill="1" applyAlignment="1">
      <alignment horizontal="center" vertical="top"/>
    </xf>
    <xf numFmtId="164" fontId="5" fillId="0" borderId="0" xfId="3" applyNumberFormat="1" applyFont="1" applyFill="1" applyBorder="1" applyAlignment="1">
      <alignment horizontal="left" vertical="top" indent="1"/>
    </xf>
    <xf numFmtId="164" fontId="5" fillId="0" borderId="0" xfId="3" applyNumberFormat="1" applyFont="1" applyFill="1" applyBorder="1" applyAlignment="1">
      <alignment horizontal="center" vertical="top"/>
    </xf>
    <xf numFmtId="164" fontId="5" fillId="0" borderId="2" xfId="3" applyNumberFormat="1" applyFont="1" applyFill="1" applyBorder="1" applyAlignment="1">
      <alignment horizontal="center" vertical="top"/>
    </xf>
    <xf numFmtId="0" fontId="5" fillId="0" borderId="0" xfId="4" applyFont="1" applyFill="1" applyAlignment="1">
      <alignment horizontal="left" vertical="top" wrapText="1"/>
    </xf>
    <xf numFmtId="0" fontId="5" fillId="0" borderId="0" xfId="4" applyFont="1" applyFill="1" applyAlignment="1">
      <alignment horizontal="left" vertical="top"/>
    </xf>
    <xf numFmtId="164" fontId="5" fillId="0" borderId="0" xfId="2" applyNumberFormat="1" applyFont="1" applyAlignment="1">
      <alignment horizontal="center" vertical="top"/>
    </xf>
    <xf numFmtId="0" fontId="5" fillId="0" borderId="0" xfId="7" applyNumberFormat="1" applyFont="1" applyFill="1" applyAlignment="1">
      <alignment vertical="top" wrapText="1"/>
    </xf>
    <xf numFmtId="0" fontId="5" fillId="0" borderId="0" xfId="7" applyNumberFormat="1" applyFont="1" applyFill="1" applyAlignment="1">
      <alignment wrapText="1"/>
    </xf>
    <xf numFmtId="164" fontId="5" fillId="0" borderId="0" xfId="11" applyNumberFormat="1" applyFont="1" applyFill="1" applyAlignment="1">
      <alignment vertical="top"/>
    </xf>
    <xf numFmtId="0" fontId="5" fillId="0" borderId="0" xfId="4" applyFont="1" applyFill="1" applyAlignment="1">
      <alignment horizontal="left" vertical="top" indent="1"/>
    </xf>
    <xf numFmtId="164" fontId="5" fillId="0" borderId="0" xfId="11" applyNumberFormat="1" applyFont="1" applyFill="1" applyBorder="1" applyAlignment="1">
      <alignment vertical="top"/>
    </xf>
    <xf numFmtId="41" fontId="5" fillId="0" borderId="0" xfId="0" applyNumberFormat="1" applyFont="1" applyFill="1" applyBorder="1" applyAlignment="1">
      <alignment vertical="top"/>
    </xf>
    <xf numFmtId="0" fontId="5" fillId="0" borderId="0" xfId="0" applyFont="1" applyFill="1" applyAlignment="1">
      <alignment horizontal="center" vertical="top"/>
    </xf>
    <xf numFmtId="41" fontId="2" fillId="0" borderId="0" xfId="0" applyNumberFormat="1" applyFont="1" applyFill="1" applyBorder="1" applyAlignment="1">
      <alignment vertical="top"/>
    </xf>
    <xf numFmtId="164" fontId="2" fillId="0" borderId="0" xfId="3" applyNumberFormat="1" applyFont="1" applyFill="1" applyAlignment="1"/>
    <xf numFmtId="0" fontId="5" fillId="0" borderId="0" xfId="7" applyNumberFormat="1" applyFont="1" applyFill="1" applyBorder="1" applyAlignment="1">
      <alignment vertical="top" wrapText="1"/>
    </xf>
    <xf numFmtId="41" fontId="5" fillId="0" borderId="0" xfId="3" applyNumberFormat="1" applyFont="1" applyFill="1" applyBorder="1" applyAlignment="1">
      <alignment horizontal="left" vertical="top"/>
    </xf>
    <xf numFmtId="164" fontId="5" fillId="0" borderId="0" xfId="6" applyNumberFormat="1" applyFont="1" applyFill="1" applyBorder="1" applyAlignment="1">
      <alignment vertical="top" wrapText="1"/>
    </xf>
    <xf numFmtId="41" fontId="5" fillId="0" borderId="2" xfId="3" applyNumberFormat="1" applyFont="1" applyFill="1" applyBorder="1" applyAlignment="1">
      <alignment horizontal="left" vertical="top"/>
    </xf>
    <xf numFmtId="164" fontId="5" fillId="0" borderId="0" xfId="11" applyNumberFormat="1" applyFont="1" applyFill="1" applyBorder="1" applyAlignment="1">
      <alignment vertical="center"/>
    </xf>
    <xf numFmtId="0" fontId="5" fillId="0" borderId="0" xfId="6" applyNumberFormat="1" applyFont="1" applyFill="1" applyBorder="1" applyAlignment="1">
      <alignment horizontal="center" vertical="top" wrapText="1"/>
    </xf>
    <xf numFmtId="165" fontId="5" fillId="0" borderId="0" xfId="6" applyNumberFormat="1" applyFont="1" applyFill="1" applyBorder="1" applyAlignment="1">
      <alignment horizontal="center" vertical="top" wrapText="1"/>
    </xf>
    <xf numFmtId="167" fontId="5" fillId="0" borderId="0" xfId="6" applyNumberFormat="1" applyFont="1" applyFill="1" applyBorder="1" applyAlignment="1">
      <alignment horizontal="center" vertical="top" wrapText="1"/>
    </xf>
    <xf numFmtId="164" fontId="5" fillId="0" borderId="2" xfId="6" applyNumberFormat="1" applyFont="1" applyFill="1" applyBorder="1" applyAlignment="1">
      <alignment vertical="top" wrapText="1"/>
    </xf>
    <xf numFmtId="164" fontId="5" fillId="0" borderId="0" xfId="2" applyNumberFormat="1" applyFont="1"/>
    <xf numFmtId="164" fontId="5" fillId="0" borderId="0" xfId="2" applyNumberFormat="1" applyFont="1" applyBorder="1"/>
    <xf numFmtId="164" fontId="5" fillId="0" borderId="0" xfId="2" applyNumberFormat="1" applyFont="1" applyAlignment="1">
      <alignment vertical="top" wrapText="1"/>
    </xf>
    <xf numFmtId="165" fontId="5" fillId="0" borderId="0" xfId="2" applyNumberFormat="1" applyFont="1" applyAlignment="1">
      <alignment horizontal="center" vertical="top"/>
    </xf>
    <xf numFmtId="164" fontId="5" fillId="0" borderId="0" xfId="2" applyNumberFormat="1" applyFont="1" applyBorder="1" applyAlignment="1">
      <alignment vertical="top"/>
    </xf>
    <xf numFmtId="164" fontId="5" fillId="0" borderId="0" xfId="3" applyNumberFormat="1" applyFont="1" applyFill="1" applyBorder="1" applyAlignment="1">
      <alignment horizontal="left" vertical="top" indent="2"/>
    </xf>
    <xf numFmtId="164" fontId="5" fillId="0" borderId="2" xfId="11" applyNumberFormat="1" applyFont="1" applyFill="1" applyBorder="1" applyAlignment="1">
      <alignment vertical="top"/>
    </xf>
    <xf numFmtId="164" fontId="5" fillId="0" borderId="3" xfId="11" applyNumberFormat="1" applyFont="1" applyFill="1" applyBorder="1" applyAlignment="1">
      <alignment vertical="top"/>
    </xf>
    <xf numFmtId="164" fontId="5" fillId="0" borderId="0" xfId="3" applyNumberFormat="1" applyFont="1" applyFill="1" applyBorder="1" applyAlignment="1">
      <alignment horizontal="left" vertical="top" wrapText="1" indent="3"/>
    </xf>
    <xf numFmtId="164" fontId="5" fillId="0" borderId="0" xfId="11" applyNumberFormat="1" applyFont="1" applyFill="1" applyBorder="1"/>
    <xf numFmtId="164" fontId="5" fillId="0" borderId="0" xfId="3" applyNumberFormat="1" applyFont="1" applyFill="1" applyBorder="1" applyAlignment="1">
      <alignment horizontal="left" vertical="top" indent="3"/>
    </xf>
    <xf numFmtId="164" fontId="5" fillId="0" borderId="2" xfId="2" applyNumberFormat="1" applyFont="1" applyBorder="1"/>
    <xf numFmtId="164" fontId="2" fillId="0" borderId="0" xfId="11" applyNumberFormat="1" applyFont="1" applyFill="1" applyBorder="1" applyAlignment="1">
      <alignment vertical="top"/>
    </xf>
    <xf numFmtId="165" fontId="2" fillId="0" borderId="0" xfId="2" quotePrefix="1" applyNumberFormat="1" applyFont="1" applyFill="1" applyAlignment="1">
      <alignment horizontal="center" vertical="top"/>
    </xf>
    <xf numFmtId="164" fontId="5" fillId="0" borderId="0" xfId="3" applyNumberFormat="1" applyFont="1" applyFill="1" applyAlignment="1">
      <alignment horizontal="left" vertical="top" wrapText="1" indent="2"/>
    </xf>
    <xf numFmtId="164" fontId="5" fillId="0" borderId="0" xfId="8" applyNumberFormat="1" applyFont="1" applyFill="1" applyAlignment="1">
      <alignment horizontal="left" vertical="top" wrapText="1" indent="2"/>
    </xf>
    <xf numFmtId="0" fontId="2" fillId="0" borderId="0" xfId="6" applyNumberFormat="1" applyFont="1" applyFill="1" applyBorder="1" applyAlignment="1">
      <alignment vertical="top" wrapText="1"/>
    </xf>
    <xf numFmtId="0" fontId="5" fillId="0" borderId="0" xfId="6" applyNumberFormat="1" applyFont="1" applyFill="1" applyBorder="1" applyAlignment="1">
      <alignment vertical="top" wrapText="1"/>
    </xf>
    <xf numFmtId="164" fontId="2" fillId="0" borderId="0" xfId="11" applyNumberFormat="1" applyFont="1" applyFill="1" applyBorder="1" applyAlignment="1">
      <alignment horizontal="center" vertical="top" wrapText="1"/>
    </xf>
    <xf numFmtId="164" fontId="2" fillId="0" borderId="2" xfId="11"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Alignment="1">
      <alignment vertical="top"/>
    </xf>
    <xf numFmtId="0" fontId="5" fillId="0" borderId="0" xfId="0" applyFont="1" applyFill="1" applyAlignment="1">
      <alignment vertical="top" wrapText="1"/>
    </xf>
    <xf numFmtId="0" fontId="2" fillId="0" borderId="0" xfId="0" applyFont="1" applyFill="1" applyAlignment="1">
      <alignment vertical="top"/>
    </xf>
    <xf numFmtId="164" fontId="5" fillId="0" borderId="0" xfId="11" applyNumberFormat="1" applyFont="1" applyFill="1" applyBorder="1" applyAlignment="1">
      <alignment vertical="top" wrapText="1"/>
    </xf>
    <xf numFmtId="164" fontId="2" fillId="0" borderId="0" xfId="3" applyNumberFormat="1" applyFont="1" applyFill="1" applyAlignment="1">
      <alignment horizontal="left" vertical="top"/>
    </xf>
    <xf numFmtId="14" fontId="5" fillId="0" borderId="0" xfId="0" applyNumberFormat="1" applyFont="1" applyFill="1" applyAlignment="1">
      <alignment horizontal="center" vertical="top"/>
    </xf>
    <xf numFmtId="0" fontId="5" fillId="0" borderId="0" xfId="0" applyFont="1" applyFill="1" applyBorder="1" applyAlignment="1">
      <alignment horizontal="center" vertical="top"/>
    </xf>
    <xf numFmtId="164" fontId="2" fillId="0" borderId="0" xfId="11" applyNumberFormat="1" applyFont="1" applyFill="1" applyBorder="1" applyAlignment="1"/>
    <xf numFmtId="164" fontId="2" fillId="0" borderId="2" xfId="0" applyNumberFormat="1" applyFont="1" applyFill="1" applyBorder="1" applyAlignment="1"/>
    <xf numFmtId="164" fontId="2" fillId="0" borderId="0" xfId="0" applyNumberFormat="1" applyFont="1" applyFill="1" applyBorder="1" applyAlignment="1"/>
    <xf numFmtId="0" fontId="4" fillId="0" borderId="0" xfId="0" applyFont="1" applyFill="1" applyAlignment="1"/>
    <xf numFmtId="0" fontId="5" fillId="0" borderId="0" xfId="0" applyFont="1"/>
    <xf numFmtId="168" fontId="5" fillId="0" borderId="0" xfId="0" applyNumberFormat="1" applyFont="1" applyFill="1" applyAlignment="1">
      <alignment horizontal="left" vertical="top" wrapText="1"/>
    </xf>
    <xf numFmtId="168" fontId="5" fillId="0" borderId="0" xfId="0" applyNumberFormat="1" applyFont="1" applyFill="1" applyAlignment="1">
      <alignment horizontal="justify" vertical="top"/>
    </xf>
    <xf numFmtId="41" fontId="2" fillId="0" borderId="0" xfId="0" applyNumberFormat="1" applyFont="1" applyFill="1" applyAlignment="1">
      <alignment horizontal="justify" vertical="top"/>
    </xf>
    <xf numFmtId="164" fontId="2" fillId="0" borderId="0" xfId="2" applyNumberFormat="1" applyFont="1" applyFill="1" applyBorder="1" applyAlignment="1">
      <alignment horizontal="center" vertical="top"/>
    </xf>
    <xf numFmtId="0" fontId="4" fillId="0" borderId="0" xfId="0" applyFont="1" applyAlignment="1">
      <alignment vertical="top"/>
    </xf>
    <xf numFmtId="0" fontId="2" fillId="0" borderId="0" xfId="0" applyFont="1" applyFill="1"/>
    <xf numFmtId="164" fontId="2" fillId="0" borderId="2" xfId="3" applyNumberFormat="1" applyFont="1" applyFill="1" applyBorder="1" applyAlignment="1">
      <alignment horizontal="center" vertical="top"/>
    </xf>
    <xf numFmtId="164" fontId="2" fillId="0" borderId="2" xfId="6" applyNumberFormat="1" applyFont="1" applyFill="1" applyBorder="1" applyAlignment="1">
      <alignment vertical="top" wrapText="1"/>
    </xf>
    <xf numFmtId="164" fontId="2" fillId="2" borderId="0" xfId="1" applyNumberFormat="1" applyFont="1" applyFill="1"/>
    <xf numFmtId="164" fontId="2" fillId="0" borderId="0" xfId="1" applyNumberFormat="1" applyFont="1" applyFill="1" applyBorder="1" applyAlignment="1">
      <alignment horizontal="center" vertical="center"/>
    </xf>
    <xf numFmtId="164" fontId="5" fillId="0" borderId="0" xfId="1" applyNumberFormat="1" applyFont="1" applyFill="1" applyAlignment="1">
      <alignment vertical="top"/>
    </xf>
    <xf numFmtId="164" fontId="2" fillId="0" borderId="0" xfId="1" applyNumberFormat="1" applyFont="1" applyFill="1" applyBorder="1" applyAlignment="1">
      <alignment horizontal="left" vertical="top"/>
    </xf>
    <xf numFmtId="164" fontId="5" fillId="0" borderId="0" xfId="1" applyNumberFormat="1" applyFont="1" applyFill="1" applyAlignment="1">
      <alignment horizontal="left" vertical="top"/>
    </xf>
    <xf numFmtId="164" fontId="5" fillId="0" borderId="0" xfId="1" applyNumberFormat="1" applyFont="1" applyFill="1" applyAlignment="1"/>
    <xf numFmtId="164" fontId="5" fillId="0" borderId="0" xfId="1" applyNumberFormat="1" applyFont="1" applyFill="1" applyBorder="1" applyAlignment="1">
      <alignment horizontal="left" vertical="top" wrapText="1"/>
    </xf>
    <xf numFmtId="164" fontId="5" fillId="0" borderId="0" xfId="1" applyNumberFormat="1" applyFont="1"/>
    <xf numFmtId="164" fontId="5" fillId="0" borderId="0" xfId="1" applyNumberFormat="1" applyFont="1" applyFill="1" applyAlignment="1">
      <alignment vertical="top" wrapText="1"/>
    </xf>
    <xf numFmtId="164" fontId="5" fillId="0" borderId="0" xfId="1" applyNumberFormat="1" applyFont="1" applyFill="1" applyBorder="1" applyAlignment="1">
      <alignment vertical="top"/>
    </xf>
    <xf numFmtId="164" fontId="2" fillId="0" borderId="0" xfId="1" applyNumberFormat="1" applyFont="1" applyFill="1" applyAlignment="1">
      <alignment horizontal="left" vertical="top"/>
    </xf>
    <xf numFmtId="164" fontId="2" fillId="0" borderId="0" xfId="1" applyNumberFormat="1" applyFont="1" applyFill="1" applyAlignment="1">
      <alignment vertical="top" wrapText="1"/>
    </xf>
    <xf numFmtId="164" fontId="5" fillId="0" borderId="0" xfId="1" applyNumberFormat="1" applyFont="1" applyFill="1"/>
    <xf numFmtId="164" fontId="2" fillId="0" borderId="0" xfId="1" applyNumberFormat="1" applyFont="1" applyFill="1" applyAlignment="1">
      <alignment vertical="top"/>
    </xf>
    <xf numFmtId="164" fontId="5" fillId="0" borderId="0" xfId="1" applyNumberFormat="1" applyFont="1" applyFill="1" applyAlignment="1">
      <alignment horizontal="justify" vertical="top"/>
    </xf>
    <xf numFmtId="164" fontId="4" fillId="0" borderId="0" xfId="1" applyNumberFormat="1" applyFont="1"/>
    <xf numFmtId="164" fontId="2" fillId="0" borderId="0" xfId="1" applyNumberFormat="1" applyFont="1" applyFill="1" applyAlignment="1"/>
    <xf numFmtId="164" fontId="2" fillId="0" borderId="0" xfId="1" applyNumberFormat="1" applyFont="1" applyFill="1"/>
    <xf numFmtId="164" fontId="2" fillId="0" borderId="2" xfId="11" applyNumberFormat="1" applyFont="1" applyFill="1" applyBorder="1" applyAlignment="1">
      <alignment vertical="top"/>
    </xf>
    <xf numFmtId="164" fontId="5" fillId="0" borderId="7" xfId="11" applyNumberFormat="1" applyFont="1" applyFill="1" applyBorder="1" applyAlignment="1">
      <alignment vertical="top"/>
    </xf>
    <xf numFmtId="0" fontId="5" fillId="0" borderId="0" xfId="0" applyFont="1" applyFill="1" applyAlignment="1">
      <alignment horizontal="left" vertical="top" wrapText="1" indent="1"/>
    </xf>
    <xf numFmtId="168" fontId="5" fillId="0" borderId="0" xfId="0" applyNumberFormat="1" applyFont="1" applyFill="1" applyAlignment="1">
      <alignment horizontal="left" vertical="top" wrapText="1" indent="1"/>
    </xf>
    <xf numFmtId="164" fontId="5" fillId="0" borderId="0" xfId="3" applyNumberFormat="1" applyFont="1" applyFill="1" applyBorder="1" applyAlignment="1">
      <alignment horizontal="left" vertical="top" wrapText="1" indent="1"/>
    </xf>
    <xf numFmtId="41" fontId="2" fillId="0" borderId="2" xfId="0" applyNumberFormat="1" applyFont="1" applyFill="1" applyBorder="1" applyAlignment="1">
      <alignment vertical="top"/>
    </xf>
    <xf numFmtId="0" fontId="5" fillId="0" borderId="0" xfId="0" applyFont="1" applyFill="1" applyAlignment="1">
      <alignment horizontal="left" vertical="top"/>
    </xf>
    <xf numFmtId="164" fontId="5" fillId="0" borderId="2" xfId="2" applyNumberFormat="1" applyFont="1" applyFill="1" applyBorder="1" applyAlignment="1">
      <alignment vertical="top"/>
    </xf>
    <xf numFmtId="0" fontId="2" fillId="0" borderId="0" xfId="0" applyFont="1" applyBorder="1" applyAlignment="1">
      <alignment horizontal="left" vertical="center" wrapText="1"/>
    </xf>
    <xf numFmtId="164" fontId="2" fillId="0" borderId="0" xfId="1" applyNumberFormat="1" applyFont="1" applyFill="1" applyBorder="1" applyAlignment="1">
      <alignment horizontal="left"/>
    </xf>
    <xf numFmtId="41" fontId="2" fillId="0" borderId="2" xfId="0" applyNumberFormat="1" applyFont="1" applyFill="1" applyBorder="1" applyAlignment="1"/>
    <xf numFmtId="0" fontId="4" fillId="0" borderId="0" xfId="0" applyFont="1" applyAlignment="1">
      <alignment horizontal="center" vertical="top"/>
    </xf>
    <xf numFmtId="164" fontId="5" fillId="0" borderId="0" xfId="2" applyNumberFormat="1" applyFont="1" applyAlignment="1">
      <alignment horizontal="center"/>
    </xf>
    <xf numFmtId="0" fontId="5" fillId="0" borderId="0" xfId="7" applyNumberFormat="1" applyFont="1" applyFill="1" applyAlignment="1">
      <alignment horizontal="center" vertical="top" wrapText="1"/>
    </xf>
    <xf numFmtId="164" fontId="5" fillId="0" borderId="0" xfId="6" applyNumberFormat="1" applyFont="1" applyFill="1" applyBorder="1" applyAlignment="1">
      <alignment horizontal="center" vertical="top" wrapText="1"/>
    </xf>
    <xf numFmtId="164" fontId="2" fillId="0" borderId="0" xfId="0" applyNumberFormat="1" applyFont="1" applyFill="1" applyBorder="1" applyAlignment="1">
      <alignment horizontal="center"/>
    </xf>
    <xf numFmtId="0" fontId="5" fillId="0" borderId="0" xfId="0" applyFont="1" applyFill="1" applyBorder="1" applyAlignment="1">
      <alignment horizontal="left" wrapText="1" indent="1"/>
    </xf>
    <xf numFmtId="0" fontId="5" fillId="0" borderId="0" xfId="0" applyFont="1" applyFill="1" applyBorder="1" applyAlignment="1">
      <alignment horizontal="left" vertical="top" wrapText="1" indent="1"/>
    </xf>
    <xf numFmtId="0" fontId="5" fillId="0" borderId="0" xfId="4" applyFont="1" applyFill="1" applyAlignment="1">
      <alignment horizontal="left" vertical="top" wrapText="1" indent="1"/>
    </xf>
    <xf numFmtId="0" fontId="5" fillId="0" borderId="0" xfId="0" applyFont="1" applyFill="1" applyAlignment="1">
      <alignment horizontal="left" vertical="top" wrapText="1"/>
    </xf>
    <xf numFmtId="164" fontId="5" fillId="0" borderId="0" xfId="3" applyNumberFormat="1" applyFont="1" applyFill="1" applyAlignment="1">
      <alignment horizontal="left" vertical="top" wrapText="1" indent="1"/>
    </xf>
    <xf numFmtId="164" fontId="5" fillId="0" borderId="0" xfId="3" applyNumberFormat="1" applyFont="1" applyFill="1" applyAlignment="1">
      <alignment horizontal="left" vertical="top" wrapText="1"/>
    </xf>
    <xf numFmtId="0" fontId="4" fillId="0" borderId="0" xfId="4" applyFont="1" applyFill="1" applyAlignment="1">
      <alignment horizontal="left" vertical="top" indent="1"/>
    </xf>
    <xf numFmtId="164" fontId="5" fillId="0" borderId="0" xfId="3" applyNumberFormat="1" applyFont="1" applyFill="1" applyBorder="1" applyAlignment="1">
      <alignment horizontal="center" vertical="top" wrapText="1"/>
    </xf>
    <xf numFmtId="0" fontId="5" fillId="0" borderId="0" xfId="0" applyFont="1" applyFill="1" applyBorder="1" applyAlignment="1">
      <alignment horizontal="center"/>
    </xf>
    <xf numFmtId="0" fontId="5" fillId="0" borderId="0" xfId="0" applyFont="1" applyFill="1" applyAlignment="1">
      <alignment horizontal="center"/>
    </xf>
    <xf numFmtId="164" fontId="2" fillId="0" borderId="0" xfId="3" applyNumberFormat="1" applyFont="1" applyFill="1" applyAlignment="1">
      <alignment horizontal="center" vertical="top"/>
    </xf>
    <xf numFmtId="0" fontId="2" fillId="2" borderId="0" xfId="0" applyFont="1" applyFill="1" applyAlignment="1">
      <alignment horizontal="left"/>
    </xf>
    <xf numFmtId="0" fontId="5" fillId="0" borderId="0" xfId="0" applyFont="1" applyFill="1" applyAlignment="1">
      <alignment horizontal="left"/>
    </xf>
    <xf numFmtId="0" fontId="4" fillId="0" borderId="0" xfId="0" applyFont="1" applyAlignment="1">
      <alignment horizontal="left"/>
    </xf>
    <xf numFmtId="164" fontId="5" fillId="0" borderId="0" xfId="11" applyNumberFormat="1" applyFont="1" applyFill="1" applyBorder="1" applyAlignment="1">
      <alignment horizontal="left" vertical="top"/>
    </xf>
    <xf numFmtId="164" fontId="5" fillId="0" borderId="0" xfId="2" applyNumberFormat="1" applyFont="1" applyAlignment="1">
      <alignment horizontal="left"/>
    </xf>
    <xf numFmtId="0" fontId="5" fillId="0" borderId="0" xfId="4" applyFont="1" applyFill="1" applyAlignment="1">
      <alignment horizontal="left" wrapText="1"/>
    </xf>
    <xf numFmtId="164" fontId="4" fillId="0" borderId="0" xfId="3" applyNumberFormat="1" applyFont="1" applyFill="1" applyAlignment="1">
      <alignment vertical="top"/>
    </xf>
    <xf numFmtId="164" fontId="2" fillId="2" borderId="0" xfId="3" applyNumberFormat="1" applyFont="1" applyFill="1" applyBorder="1" applyAlignment="1">
      <alignment vertical="top"/>
    </xf>
    <xf numFmtId="164" fontId="5" fillId="2" borderId="0" xfId="3" applyNumberFormat="1" applyFont="1" applyFill="1" applyBorder="1" applyAlignment="1">
      <alignment vertical="top"/>
    </xf>
    <xf numFmtId="164" fontId="2" fillId="2" borderId="0" xfId="3" applyNumberFormat="1" applyFont="1" applyFill="1" applyBorder="1" applyAlignment="1">
      <alignment horizontal="center" vertical="top"/>
    </xf>
    <xf numFmtId="164" fontId="2" fillId="2" borderId="0" xfId="11" applyNumberFormat="1" applyFont="1" applyFill="1" applyBorder="1" applyAlignment="1">
      <alignment vertical="top"/>
    </xf>
    <xf numFmtId="164" fontId="2" fillId="2" borderId="0" xfId="3" applyNumberFormat="1" applyFont="1" applyFill="1" applyAlignment="1"/>
    <xf numFmtId="164" fontId="5" fillId="0" borderId="0" xfId="2" applyNumberFormat="1" applyFont="1" applyFill="1" applyAlignment="1">
      <alignment horizontal="center"/>
    </xf>
    <xf numFmtId="164" fontId="5" fillId="0" borderId="0" xfId="2" applyNumberFormat="1" applyFont="1" applyFill="1" applyBorder="1" applyAlignment="1">
      <alignment horizontal="center" vertical="top" wrapText="1"/>
    </xf>
    <xf numFmtId="0" fontId="5" fillId="0" borderId="0" xfId="6" applyNumberFormat="1" applyFont="1" applyFill="1" applyBorder="1" applyAlignment="1">
      <alignment wrapText="1"/>
    </xf>
    <xf numFmtId="0" fontId="5" fillId="0" borderId="0" xfId="7" applyNumberFormat="1" applyFont="1" applyFill="1" applyBorder="1" applyAlignment="1">
      <alignment horizontal="center" vertical="top" wrapText="1"/>
    </xf>
    <xf numFmtId="167" fontId="5" fillId="0" borderId="0" xfId="7" applyNumberFormat="1" applyFont="1" applyFill="1" applyBorder="1" applyAlignment="1">
      <alignment horizontal="center" vertical="top" wrapText="1"/>
    </xf>
    <xf numFmtId="41" fontId="2" fillId="0" borderId="0" xfId="7" applyNumberFormat="1" applyFont="1" applyFill="1" applyBorder="1" applyAlignment="1">
      <alignment vertical="top" wrapText="1"/>
    </xf>
    <xf numFmtId="0" fontId="5" fillId="0" borderId="0" xfId="6" applyNumberFormat="1" applyFont="1" applyFill="1" applyBorder="1" applyAlignment="1">
      <alignment horizontal="left" vertical="top" wrapText="1"/>
    </xf>
    <xf numFmtId="41" fontId="5" fillId="0" borderId="0" xfId="7" applyNumberFormat="1" applyFont="1" applyFill="1" applyBorder="1" applyAlignment="1">
      <alignment vertical="top" wrapText="1"/>
    </xf>
    <xf numFmtId="164" fontId="2" fillId="0" borderId="0" xfId="2" applyNumberFormat="1" applyFont="1" applyFill="1" applyAlignment="1">
      <alignment vertical="top"/>
    </xf>
    <xf numFmtId="164" fontId="5" fillId="0" borderId="0" xfId="3" applyNumberFormat="1" applyFont="1" applyFill="1" applyBorder="1" applyAlignment="1"/>
    <xf numFmtId="0" fontId="5" fillId="0" borderId="0" xfId="5" applyFont="1" applyFill="1" applyBorder="1" applyAlignment="1">
      <alignment horizontal="center" vertical="top" wrapText="1"/>
    </xf>
    <xf numFmtId="165" fontId="5" fillId="0" borderId="0" xfId="5" applyNumberFormat="1" applyFont="1" applyFill="1" applyAlignment="1">
      <alignment horizontal="center" vertical="top"/>
    </xf>
    <xf numFmtId="0" fontId="2" fillId="0" borderId="0" xfId="7" applyNumberFormat="1" applyFont="1" applyFill="1" applyAlignment="1">
      <alignment wrapText="1"/>
    </xf>
    <xf numFmtId="0" fontId="5" fillId="0" borderId="0" xfId="6" applyNumberFormat="1" applyFont="1" applyFill="1" applyBorder="1" applyAlignment="1">
      <alignment horizontal="left" wrapText="1" indent="3"/>
    </xf>
    <xf numFmtId="164" fontId="2" fillId="0" borderId="0" xfId="3" applyNumberFormat="1" applyFont="1" applyFill="1" applyBorder="1" applyAlignment="1">
      <alignment horizontal="center"/>
    </xf>
    <xf numFmtId="164" fontId="5" fillId="0" borderId="0" xfId="3" applyNumberFormat="1" applyFont="1" applyAlignment="1">
      <alignment vertical="top"/>
    </xf>
    <xf numFmtId="164" fontId="5" fillId="0" borderId="0" xfId="3" applyNumberFormat="1" applyFont="1" applyAlignment="1">
      <alignment horizontal="center" vertical="top"/>
    </xf>
    <xf numFmtId="166" fontId="5" fillId="0" borderId="0" xfId="3" applyNumberFormat="1" applyFont="1" applyAlignment="1">
      <alignment horizontal="center" vertical="top"/>
    </xf>
    <xf numFmtId="164" fontId="4" fillId="0" borderId="0" xfId="3" applyNumberFormat="1" applyFont="1" applyAlignment="1">
      <alignment vertical="top"/>
    </xf>
    <xf numFmtId="0" fontId="5" fillId="0" borderId="0" xfId="6" applyNumberFormat="1" applyFont="1" applyFill="1" applyBorder="1" applyAlignment="1">
      <alignment horizontal="left" vertical="top" wrapText="1" indent="1"/>
    </xf>
    <xf numFmtId="0" fontId="2" fillId="0" borderId="0" xfId="6" applyNumberFormat="1" applyFont="1" applyFill="1" applyBorder="1" applyAlignment="1">
      <alignment horizontal="left" vertical="top" wrapText="1"/>
    </xf>
    <xf numFmtId="164" fontId="2" fillId="0" borderId="2" xfId="2" applyNumberFormat="1" applyFont="1" applyBorder="1" applyAlignment="1">
      <alignment vertical="top"/>
    </xf>
    <xf numFmtId="164" fontId="2" fillId="0" borderId="0" xfId="7" applyNumberFormat="1" applyFont="1" applyFill="1" applyBorder="1" applyAlignment="1">
      <alignment vertical="top" wrapText="1"/>
    </xf>
    <xf numFmtId="41" fontId="5" fillId="0" borderId="0" xfId="7" applyNumberFormat="1" applyFont="1" applyFill="1" applyAlignment="1">
      <alignment vertical="top" wrapText="1"/>
    </xf>
    <xf numFmtId="164" fontId="5" fillId="0" borderId="0" xfId="7" applyNumberFormat="1" applyFont="1" applyFill="1" applyBorder="1" applyAlignment="1">
      <alignment vertical="top" wrapText="1"/>
    </xf>
    <xf numFmtId="41" fontId="2" fillId="0" borderId="0" xfId="7" applyNumberFormat="1" applyFont="1" applyFill="1" applyAlignment="1">
      <alignment vertical="top" wrapText="1"/>
    </xf>
    <xf numFmtId="43" fontId="5" fillId="0" borderId="0" xfId="7" applyFont="1" applyFill="1" applyAlignment="1">
      <alignment vertical="top" wrapText="1"/>
    </xf>
    <xf numFmtId="164" fontId="2" fillId="0" borderId="0" xfId="11" applyNumberFormat="1" applyFont="1" applyFill="1" applyBorder="1" applyAlignment="1">
      <alignment horizontal="center" vertical="center" wrapText="1"/>
    </xf>
    <xf numFmtId="164" fontId="2" fillId="0" borderId="0" xfId="11" applyNumberFormat="1" applyFont="1" applyFill="1" applyBorder="1" applyAlignment="1">
      <alignment horizontal="center" vertical="center"/>
    </xf>
    <xf numFmtId="164" fontId="5" fillId="0" borderId="0" xfId="11" applyNumberFormat="1" applyFont="1" applyFill="1" applyAlignment="1">
      <alignment horizontal="center" vertical="top" wrapText="1"/>
    </xf>
    <xf numFmtId="164" fontId="5" fillId="0" borderId="0" xfId="2" applyNumberFormat="1" applyFont="1" applyFill="1" applyBorder="1" applyAlignment="1">
      <alignment horizontal="left" vertical="top"/>
    </xf>
    <xf numFmtId="164" fontId="5" fillId="0" borderId="0" xfId="11" applyNumberFormat="1" applyFont="1" applyFill="1" applyAlignment="1">
      <alignment horizontal="center" vertical="top"/>
    </xf>
    <xf numFmtId="164" fontId="5" fillId="0" borderId="0" xfId="11" applyNumberFormat="1" applyFont="1" applyFill="1" applyBorder="1" applyAlignment="1">
      <alignment horizontal="center" vertical="top" wrapText="1"/>
    </xf>
    <xf numFmtId="0" fontId="5" fillId="0" borderId="0" xfId="5" applyFont="1" applyFill="1" applyAlignment="1">
      <alignment vertical="top" wrapText="1"/>
    </xf>
    <xf numFmtId="0" fontId="5" fillId="0" borderId="0" xfId="6" applyNumberFormat="1" applyFont="1" applyFill="1" applyBorder="1" applyAlignment="1">
      <alignment vertical="top"/>
    </xf>
    <xf numFmtId="0" fontId="5" fillId="0" borderId="0" xfId="0" applyFont="1" applyFill="1" applyAlignment="1">
      <alignment horizontal="center" vertical="top" wrapText="1"/>
    </xf>
    <xf numFmtId="0" fontId="2" fillId="0" borderId="0" xfId="6" applyNumberFormat="1" applyFont="1" applyFill="1" applyBorder="1" applyAlignment="1">
      <alignment horizontal="left" vertical="top" indent="2"/>
    </xf>
    <xf numFmtId="164" fontId="2" fillId="0" borderId="0" xfId="11" applyNumberFormat="1" applyFont="1" applyFill="1" applyAlignment="1">
      <alignment vertical="top"/>
    </xf>
    <xf numFmtId="164" fontId="2" fillId="2" borderId="0" xfId="11" applyNumberFormat="1" applyFont="1" applyFill="1" applyBorder="1" applyAlignment="1">
      <alignment horizontal="center" vertical="top"/>
    </xf>
    <xf numFmtId="164" fontId="2" fillId="0" borderId="0" xfId="3" applyNumberFormat="1" applyFont="1" applyFill="1" applyBorder="1" applyAlignment="1">
      <alignment horizontal="center" vertical="center"/>
    </xf>
    <xf numFmtId="164" fontId="2" fillId="0" borderId="0" xfId="2" applyNumberFormat="1" applyFont="1" applyBorder="1" applyAlignment="1">
      <alignment horizontal="center" vertical="center"/>
    </xf>
    <xf numFmtId="164" fontId="2" fillId="0" borderId="0" xfId="11" applyNumberFormat="1" applyFont="1" applyFill="1" applyBorder="1" applyAlignment="1">
      <alignment horizontal="center" wrapText="1"/>
    </xf>
    <xf numFmtId="164" fontId="2" fillId="0" borderId="2" xfId="2" applyNumberFormat="1" applyFont="1" applyFill="1" applyBorder="1" applyAlignment="1"/>
    <xf numFmtId="164" fontId="2" fillId="0" borderId="0" xfId="3" applyNumberFormat="1" applyFont="1" applyFill="1" applyBorder="1" applyAlignment="1">
      <alignment horizontal="left" vertical="center"/>
    </xf>
    <xf numFmtId="164" fontId="2" fillId="0" borderId="0" xfId="11" applyNumberFormat="1" applyFont="1" applyFill="1" applyAlignment="1">
      <alignment horizontal="center" vertical="top"/>
    </xf>
    <xf numFmtId="41" fontId="5" fillId="0" borderId="0" xfId="0" applyNumberFormat="1" applyFont="1" applyFill="1" applyBorder="1" applyAlignment="1">
      <alignment horizontal="center" vertical="top"/>
    </xf>
    <xf numFmtId="165" fontId="5" fillId="0" borderId="0" xfId="2" quotePrefix="1" applyNumberFormat="1" applyFont="1" applyFill="1" applyBorder="1" applyAlignment="1">
      <alignment horizontal="center" vertical="top"/>
    </xf>
    <xf numFmtId="164" fontId="5" fillId="0" borderId="0" xfId="2" applyNumberFormat="1" applyFont="1" applyAlignment="1">
      <alignment horizontal="center" vertical="top" wrapText="1"/>
    </xf>
    <xf numFmtId="0" fontId="5" fillId="0" borderId="0" xfId="6" applyNumberFormat="1" applyFont="1" applyFill="1" applyBorder="1" applyAlignment="1">
      <alignment horizontal="left" vertical="top" wrapText="1" indent="2"/>
    </xf>
    <xf numFmtId="0" fontId="2" fillId="0" borderId="0" xfId="6" applyNumberFormat="1" applyFont="1" applyFill="1" applyBorder="1" applyAlignment="1">
      <alignment wrapText="1"/>
    </xf>
    <xf numFmtId="41" fontId="2" fillId="0" borderId="0" xfId="7" applyNumberFormat="1" applyFont="1" applyFill="1" applyAlignment="1">
      <alignment horizontal="center" vertical="top" wrapText="1"/>
    </xf>
    <xf numFmtId="41" fontId="5" fillId="0" borderId="0" xfId="7" applyNumberFormat="1" applyFont="1" applyFill="1" applyBorder="1" applyAlignment="1">
      <alignment horizontal="center" vertical="top" wrapText="1"/>
    </xf>
    <xf numFmtId="0" fontId="5" fillId="0" borderId="0" xfId="5" applyFont="1" applyFill="1"/>
    <xf numFmtId="0" fontId="5" fillId="0" borderId="0" xfId="7" applyNumberFormat="1" applyFont="1" applyFill="1" applyBorder="1" applyAlignment="1">
      <alignment horizontal="center" wrapText="1"/>
    </xf>
    <xf numFmtId="41" fontId="5" fillId="0" borderId="0" xfId="7" applyNumberFormat="1" applyFont="1" applyFill="1" applyBorder="1" applyAlignment="1">
      <alignment wrapText="1"/>
    </xf>
    <xf numFmtId="41" fontId="2" fillId="0" borderId="2" xfId="7" applyNumberFormat="1" applyFont="1" applyFill="1" applyBorder="1" applyAlignment="1">
      <alignment wrapText="1"/>
    </xf>
    <xf numFmtId="0" fontId="5" fillId="0" borderId="0" xfId="5" applyFont="1" applyFill="1" applyAlignment="1">
      <alignment horizontal="center"/>
    </xf>
    <xf numFmtId="164" fontId="5" fillId="0" borderId="0" xfId="2" applyNumberFormat="1" applyFont="1" applyFill="1" applyAlignment="1"/>
    <xf numFmtId="0" fontId="5" fillId="0" borderId="0" xfId="5" applyFont="1" applyFill="1" applyAlignment="1"/>
    <xf numFmtId="41" fontId="2" fillId="0" borderId="0" xfId="7" applyNumberFormat="1" applyFont="1" applyFill="1" applyBorder="1" applyAlignment="1">
      <alignment wrapText="1"/>
    </xf>
    <xf numFmtId="0" fontId="2" fillId="0" borderId="0" xfId="6" applyNumberFormat="1" applyFont="1" applyFill="1" applyBorder="1" applyAlignment="1">
      <alignment horizontal="left"/>
    </xf>
    <xf numFmtId="0" fontId="5" fillId="0" borderId="0" xfId="6" applyNumberFormat="1" applyFont="1" applyFill="1" applyBorder="1" applyAlignment="1"/>
    <xf numFmtId="0" fontId="5" fillId="0" borderId="0" xfId="6" applyNumberFormat="1" applyFont="1" applyFill="1" applyBorder="1" applyAlignment="1">
      <alignment horizontal="left" indent="5"/>
    </xf>
    <xf numFmtId="41" fontId="5" fillId="0" borderId="0" xfId="7" applyNumberFormat="1" applyFont="1" applyFill="1" applyBorder="1" applyAlignment="1">
      <alignment horizontal="center" wrapText="1"/>
    </xf>
    <xf numFmtId="164" fontId="2" fillId="0" borderId="0" xfId="11" applyNumberFormat="1" applyFont="1" applyFill="1" applyBorder="1" applyAlignment="1">
      <alignment vertical="top" wrapText="1"/>
    </xf>
    <xf numFmtId="41" fontId="2" fillId="0" borderId="0" xfId="7" applyNumberFormat="1" applyFont="1" applyFill="1" applyBorder="1" applyAlignment="1">
      <alignment horizontal="center" vertical="top" wrapText="1"/>
    </xf>
    <xf numFmtId="0" fontId="5" fillId="0" borderId="0" xfId="6" applyNumberFormat="1" applyFont="1" applyFill="1" applyBorder="1" applyAlignment="1">
      <alignment horizontal="left" wrapText="1" indent="2"/>
    </xf>
    <xf numFmtId="41" fontId="2" fillId="0" borderId="0" xfId="6" applyNumberFormat="1" applyFont="1" applyFill="1" applyBorder="1" applyAlignment="1">
      <alignment vertical="top" wrapText="1"/>
    </xf>
    <xf numFmtId="41" fontId="2" fillId="0" borderId="2" xfId="6" applyNumberFormat="1" applyFont="1" applyFill="1" applyBorder="1" applyAlignment="1">
      <alignment vertical="top" wrapText="1"/>
    </xf>
    <xf numFmtId="0" fontId="2" fillId="0" borderId="0" xfId="6" applyNumberFormat="1" applyFont="1" applyFill="1" applyBorder="1" applyAlignment="1">
      <alignment horizontal="left" vertical="top" wrapText="1" indent="2"/>
    </xf>
    <xf numFmtId="0" fontId="4" fillId="0" borderId="0" xfId="6" applyNumberFormat="1" applyFont="1" applyFill="1" applyBorder="1" applyAlignment="1">
      <alignment horizontal="left" vertical="top" wrapText="1" indent="1"/>
    </xf>
    <xf numFmtId="0" fontId="4" fillId="0" borderId="0" xfId="6" applyNumberFormat="1" applyFont="1" applyFill="1" applyBorder="1" applyAlignment="1">
      <alignment vertical="top" wrapText="1"/>
    </xf>
    <xf numFmtId="0" fontId="4" fillId="0" borderId="0" xfId="6" applyNumberFormat="1" applyFont="1" applyFill="1" applyBorder="1" applyAlignment="1">
      <alignment horizontal="left" vertical="top" wrapText="1"/>
    </xf>
    <xf numFmtId="0" fontId="4" fillId="0" borderId="0" xfId="7" applyNumberFormat="1" applyFont="1" applyFill="1" applyBorder="1" applyAlignment="1">
      <alignment horizontal="center" vertical="top" wrapText="1"/>
    </xf>
    <xf numFmtId="41" fontId="4" fillId="0" borderId="0" xfId="7" applyNumberFormat="1" applyFont="1" applyFill="1" applyBorder="1" applyAlignment="1">
      <alignment vertical="top" wrapText="1"/>
    </xf>
    <xf numFmtId="168" fontId="4" fillId="0" borderId="0" xfId="5" applyNumberFormat="1" applyFont="1" applyFill="1" applyAlignment="1">
      <alignment horizontal="left" vertical="top" indent="2"/>
    </xf>
    <xf numFmtId="41" fontId="9" fillId="0" borderId="0" xfId="7" applyNumberFormat="1" applyFont="1" applyFill="1" applyBorder="1" applyAlignment="1">
      <alignment vertical="top" wrapText="1"/>
    </xf>
    <xf numFmtId="0" fontId="4" fillId="0" borderId="0" xfId="6" applyNumberFormat="1" applyFont="1" applyFill="1" applyBorder="1" applyAlignment="1">
      <alignment horizontal="left" wrapText="1" indent="2"/>
    </xf>
    <xf numFmtId="0" fontId="4" fillId="0" borderId="0" xfId="6" applyNumberFormat="1" applyFont="1" applyFill="1" applyBorder="1" applyAlignment="1">
      <alignment wrapText="1"/>
    </xf>
    <xf numFmtId="0" fontId="4" fillId="0" borderId="0" xfId="7" applyNumberFormat="1" applyFont="1" applyFill="1" applyBorder="1" applyAlignment="1">
      <alignment horizontal="center" wrapText="1"/>
    </xf>
    <xf numFmtId="41" fontId="9" fillId="0" borderId="0" xfId="7" applyNumberFormat="1" applyFont="1" applyFill="1" applyBorder="1" applyAlignment="1">
      <alignment wrapText="1"/>
    </xf>
    <xf numFmtId="41" fontId="4" fillId="0" borderId="0" xfId="7" applyNumberFormat="1" applyFont="1" applyFill="1" applyBorder="1" applyAlignment="1">
      <alignment wrapText="1"/>
    </xf>
    <xf numFmtId="0" fontId="4" fillId="0" borderId="0" xfId="6" applyNumberFormat="1" applyFont="1" applyFill="1" applyBorder="1" applyAlignment="1">
      <alignment horizontal="left" vertical="top" wrapText="1" indent="2"/>
    </xf>
    <xf numFmtId="0" fontId="4" fillId="0" borderId="0" xfId="6" applyNumberFormat="1" applyFont="1" applyFill="1" applyBorder="1" applyAlignment="1">
      <alignment horizontal="left" wrapText="1"/>
    </xf>
    <xf numFmtId="0" fontId="5" fillId="0" borderId="0" xfId="7" applyNumberFormat="1" applyFont="1" applyFill="1" applyBorder="1" applyAlignment="1">
      <alignment horizontal="left" vertical="top" wrapText="1" indent="3"/>
    </xf>
    <xf numFmtId="41" fontId="5" fillId="0" borderId="0" xfId="6" applyNumberFormat="1" applyFont="1" applyFill="1" applyBorder="1" applyAlignment="1">
      <alignment vertical="top" wrapText="1"/>
    </xf>
    <xf numFmtId="0" fontId="5" fillId="0" borderId="0" xfId="7" applyNumberFormat="1" applyFont="1" applyFill="1" applyBorder="1" applyAlignment="1">
      <alignment horizontal="left" vertical="top" wrapText="1" indent="1"/>
    </xf>
    <xf numFmtId="41" fontId="5" fillId="0" borderId="0" xfId="7" applyNumberFormat="1" applyFont="1" applyFill="1" applyBorder="1" applyAlignment="1">
      <alignment vertical="center" wrapText="1"/>
    </xf>
    <xf numFmtId="164" fontId="5" fillId="0" borderId="0" xfId="8" applyNumberFormat="1" applyFont="1" applyFill="1" applyAlignment="1">
      <alignment horizontal="left" vertical="top" wrapText="1"/>
    </xf>
    <xf numFmtId="164" fontId="5" fillId="0" borderId="0" xfId="2" applyNumberFormat="1" applyFont="1" applyFill="1" applyBorder="1" applyAlignment="1">
      <alignment vertical="center"/>
    </xf>
    <xf numFmtId="164" fontId="5" fillId="0" borderId="0" xfId="2" applyNumberFormat="1" applyFont="1" applyAlignment="1"/>
    <xf numFmtId="164" fontId="5" fillId="0" borderId="0" xfId="2" applyNumberFormat="1" applyFont="1" applyBorder="1" applyAlignment="1"/>
    <xf numFmtId="164" fontId="5" fillId="0" borderId="3" xfId="2" applyNumberFormat="1" applyFont="1" applyBorder="1" applyAlignment="1"/>
    <xf numFmtId="0" fontId="10" fillId="0" borderId="0" xfId="7" applyNumberFormat="1" applyFont="1" applyFill="1" applyAlignment="1">
      <alignment vertical="top" wrapText="1"/>
    </xf>
    <xf numFmtId="41" fontId="11" fillId="0" borderId="0" xfId="7" applyNumberFormat="1" applyFont="1" applyFill="1" applyAlignment="1">
      <alignment horizontal="center" vertical="top" wrapText="1"/>
    </xf>
    <xf numFmtId="164" fontId="2" fillId="0" borderId="0" xfId="2" applyNumberFormat="1" applyFont="1" applyBorder="1" applyAlignment="1">
      <alignment vertical="top"/>
    </xf>
    <xf numFmtId="164" fontId="2" fillId="0" borderId="0" xfId="2" applyNumberFormat="1" applyFont="1" applyAlignment="1">
      <alignment horizontal="center"/>
    </xf>
    <xf numFmtId="41" fontId="9" fillId="0" borderId="2" xfId="7" applyNumberFormat="1" applyFont="1" applyFill="1" applyBorder="1" applyAlignment="1">
      <alignment vertical="top" wrapText="1"/>
    </xf>
    <xf numFmtId="164" fontId="5" fillId="0" borderId="0" xfId="2" applyNumberFormat="1" applyFont="1" applyFill="1" applyAlignment="1">
      <alignment horizontal="left" vertical="top" wrapText="1" indent="3"/>
    </xf>
    <xf numFmtId="164" fontId="2" fillId="0" borderId="0" xfId="2" applyNumberFormat="1" applyFont="1" applyAlignment="1">
      <alignment vertical="top"/>
    </xf>
    <xf numFmtId="164" fontId="2" fillId="0" borderId="0" xfId="2" applyNumberFormat="1" applyFont="1" applyBorder="1" applyAlignment="1">
      <alignment vertical="top" wrapText="1"/>
    </xf>
    <xf numFmtId="0" fontId="2" fillId="0" borderId="0" xfId="13" applyFont="1" applyFill="1" applyBorder="1" applyAlignment="1">
      <alignment horizontal="left" indent="1"/>
    </xf>
    <xf numFmtId="0" fontId="5" fillId="0" borderId="0" xfId="13" applyFont="1" applyFill="1" applyBorder="1"/>
    <xf numFmtId="0" fontId="5" fillId="0" borderId="0" xfId="13" applyFont="1" applyFill="1" applyBorder="1" applyAlignment="1">
      <alignment horizontal="center"/>
    </xf>
    <xf numFmtId="164" fontId="5" fillId="0" borderId="0" xfId="3" applyNumberFormat="1" applyFont="1" applyFill="1" applyBorder="1"/>
    <xf numFmtId="164" fontId="2" fillId="0" borderId="2" xfId="3" applyNumberFormat="1" applyFont="1" applyFill="1" applyBorder="1"/>
    <xf numFmtId="0" fontId="12" fillId="0" borderId="0" xfId="13" applyFont="1" applyFill="1" applyBorder="1"/>
    <xf numFmtId="164" fontId="2" fillId="0" borderId="0" xfId="3" applyNumberFormat="1" applyFont="1" applyFill="1" applyBorder="1"/>
    <xf numFmtId="0" fontId="5" fillId="0" borderId="0" xfId="13" applyFont="1" applyFill="1" applyBorder="1" applyAlignment="1">
      <alignment horizontal="left"/>
    </xf>
    <xf numFmtId="0" fontId="12" fillId="0" borderId="0" xfId="0" applyFont="1" applyFill="1" applyBorder="1"/>
    <xf numFmtId="168" fontId="9" fillId="0" borderId="0" xfId="5" applyNumberFormat="1" applyFont="1" applyFill="1" applyAlignment="1">
      <alignment horizontal="left" vertical="top" indent="1"/>
    </xf>
    <xf numFmtId="168" fontId="9" fillId="0" borderId="0" xfId="5" applyNumberFormat="1" applyFont="1" applyFill="1" applyAlignment="1">
      <alignment horizontal="left" vertical="top" indent="2"/>
    </xf>
    <xf numFmtId="41" fontId="4" fillId="0" borderId="2" xfId="7" applyNumberFormat="1" applyFont="1" applyFill="1" applyBorder="1" applyAlignment="1">
      <alignment vertical="top" wrapText="1"/>
    </xf>
    <xf numFmtId="43" fontId="2" fillId="0" borderId="0" xfId="7" applyFont="1" applyFill="1" applyBorder="1" applyAlignment="1">
      <alignment vertical="top" wrapText="1"/>
    </xf>
    <xf numFmtId="168" fontId="9" fillId="0" borderId="0" xfId="5" applyNumberFormat="1" applyFont="1" applyFill="1" applyAlignment="1">
      <alignment vertical="top"/>
    </xf>
    <xf numFmtId="41" fontId="2" fillId="0" borderId="2" xfId="7" applyNumberFormat="1" applyFont="1" applyFill="1" applyBorder="1" applyAlignment="1">
      <alignment vertical="top" wrapText="1"/>
    </xf>
    <xf numFmtId="41" fontId="11" fillId="0" borderId="0" xfId="7" applyNumberFormat="1" applyFont="1" applyFill="1" applyBorder="1" applyAlignment="1">
      <alignment vertical="top" wrapText="1"/>
    </xf>
    <xf numFmtId="0" fontId="5" fillId="0" borderId="0" xfId="6" applyNumberFormat="1" applyFont="1" applyFill="1" applyBorder="1" applyAlignment="1">
      <alignment horizontal="left" vertical="top" wrapText="1" indent="3"/>
    </xf>
    <xf numFmtId="0" fontId="5" fillId="0" borderId="0" xfId="6" applyNumberFormat="1" applyFont="1" applyFill="1" applyBorder="1" applyAlignment="1">
      <alignment horizontal="left" vertical="top" indent="3"/>
    </xf>
    <xf numFmtId="0" fontId="5" fillId="0" borderId="0" xfId="6" applyNumberFormat="1" applyFont="1" applyFill="1" applyBorder="1" applyAlignment="1">
      <alignment horizontal="left" vertical="top"/>
    </xf>
    <xf numFmtId="164" fontId="2" fillId="0" borderId="0" xfId="11" applyNumberFormat="1" applyFont="1" applyFill="1" applyBorder="1" applyAlignment="1">
      <alignment horizontal="center"/>
    </xf>
    <xf numFmtId="164" fontId="2" fillId="0" borderId="2" xfId="3" applyNumberFormat="1" applyFont="1" applyBorder="1" applyAlignment="1"/>
    <xf numFmtId="0" fontId="5" fillId="0" borderId="0" xfId="7" applyNumberFormat="1" applyFont="1" applyFill="1" applyBorder="1" applyAlignment="1">
      <alignment vertical="top"/>
    </xf>
    <xf numFmtId="0" fontId="2" fillId="0" borderId="0" xfId="7" applyNumberFormat="1" applyFont="1" applyFill="1" applyBorder="1" applyAlignment="1">
      <alignment horizontal="left" vertical="top"/>
    </xf>
    <xf numFmtId="164" fontId="5" fillId="0" borderId="0" xfId="11" applyNumberFormat="1" applyFont="1" applyAlignment="1">
      <alignment horizontal="center" vertical="top"/>
    </xf>
    <xf numFmtId="164" fontId="2" fillId="0" borderId="2" xfId="3" applyNumberFormat="1" applyFont="1" applyBorder="1" applyAlignment="1">
      <alignment vertical="top"/>
    </xf>
    <xf numFmtId="0" fontId="2" fillId="0" borderId="0" xfId="6" applyNumberFormat="1" applyFont="1" applyFill="1" applyBorder="1" applyAlignment="1">
      <alignment vertical="top"/>
    </xf>
    <xf numFmtId="164" fontId="5" fillId="0" borderId="0" xfId="7" applyNumberFormat="1" applyFont="1" applyFill="1" applyAlignment="1">
      <alignment vertical="top" wrapText="1"/>
    </xf>
    <xf numFmtId="0" fontId="2" fillId="0" borderId="0" xfId="6" applyNumberFormat="1" applyFont="1" applyFill="1" applyBorder="1" applyAlignment="1"/>
    <xf numFmtId="0" fontId="5" fillId="0" borderId="0" xfId="7" applyNumberFormat="1" applyFont="1" applyFill="1" applyAlignment="1">
      <alignment horizontal="center" wrapText="1"/>
    </xf>
    <xf numFmtId="164" fontId="2" fillId="0" borderId="0" xfId="3" applyNumberFormat="1" applyFont="1" applyAlignment="1">
      <alignment vertical="top"/>
    </xf>
    <xf numFmtId="164" fontId="2" fillId="0" borderId="0" xfId="11" applyNumberFormat="1" applyFont="1" applyAlignment="1">
      <alignment horizontal="center" vertical="top"/>
    </xf>
    <xf numFmtId="41" fontId="5" fillId="0" borderId="2" xfId="7" applyNumberFormat="1" applyFont="1" applyFill="1" applyBorder="1" applyAlignment="1">
      <alignment wrapText="1"/>
    </xf>
    <xf numFmtId="0" fontId="2" fillId="0" borderId="0" xfId="7" applyNumberFormat="1" applyFont="1" applyFill="1" applyBorder="1" applyAlignment="1">
      <alignment horizontal="left" vertical="top" wrapText="1" indent="2"/>
    </xf>
    <xf numFmtId="0" fontId="5" fillId="0" borderId="0" xfId="6" applyNumberFormat="1" applyFont="1" applyFill="1" applyBorder="1" applyAlignment="1">
      <alignment horizontal="left" wrapText="1"/>
    </xf>
    <xf numFmtId="41" fontId="2" fillId="0" borderId="2" xfId="0" applyNumberFormat="1" applyFont="1" applyFill="1" applyBorder="1"/>
    <xf numFmtId="164" fontId="2" fillId="0" borderId="0" xfId="11" applyNumberFormat="1" applyFont="1" applyFill="1" applyAlignment="1">
      <alignment wrapText="1"/>
    </xf>
    <xf numFmtId="41" fontId="2" fillId="0" borderId="0" xfId="0" applyNumberFormat="1" applyFont="1" applyFill="1" applyBorder="1"/>
    <xf numFmtId="41" fontId="2" fillId="0" borderId="0" xfId="0" applyNumberFormat="1" applyFont="1" applyFill="1" applyBorder="1" applyAlignment="1">
      <alignment horizontal="center"/>
    </xf>
    <xf numFmtId="0" fontId="2" fillId="0" borderId="0" xfId="5" applyFont="1" applyFill="1" applyAlignment="1">
      <alignment vertical="top" wrapText="1"/>
    </xf>
    <xf numFmtId="0" fontId="2" fillId="0" borderId="0" xfId="6" applyNumberFormat="1" applyFont="1" applyFill="1" applyBorder="1" applyAlignment="1">
      <alignment horizontal="left" vertical="top"/>
    </xf>
    <xf numFmtId="164" fontId="2" fillId="0" borderId="0" xfId="7" applyNumberFormat="1" applyFont="1" applyFill="1" applyAlignment="1">
      <alignment vertical="top" wrapText="1"/>
    </xf>
    <xf numFmtId="164" fontId="5" fillId="0" borderId="0" xfId="7" applyNumberFormat="1" applyFont="1" applyFill="1" applyBorder="1" applyAlignment="1">
      <alignment horizontal="center" vertical="top" wrapText="1"/>
    </xf>
    <xf numFmtId="164" fontId="5" fillId="0" borderId="0" xfId="7" applyNumberFormat="1" applyFont="1" applyFill="1" applyBorder="1" applyAlignment="1">
      <alignment wrapText="1"/>
    </xf>
    <xf numFmtId="41" fontId="2" fillId="0" borderId="0" xfId="7" applyNumberFormat="1" applyFont="1" applyFill="1" applyAlignment="1">
      <alignment horizontal="center" wrapText="1"/>
    </xf>
    <xf numFmtId="164" fontId="2" fillId="0" borderId="0" xfId="11" applyNumberFormat="1" applyFont="1" applyFill="1" applyAlignment="1">
      <alignment horizontal="left" vertical="top" wrapText="1"/>
    </xf>
    <xf numFmtId="164" fontId="2" fillId="0" borderId="0" xfId="7" applyNumberFormat="1" applyFont="1" applyFill="1" applyAlignment="1">
      <alignment horizontal="left" vertical="top" wrapText="1"/>
    </xf>
    <xf numFmtId="164" fontId="5" fillId="0" borderId="0" xfId="7" applyNumberFormat="1" applyFont="1" applyFill="1" applyBorder="1" applyAlignment="1">
      <alignment horizontal="left" vertical="top" wrapText="1"/>
    </xf>
    <xf numFmtId="164" fontId="4" fillId="0" borderId="0" xfId="11"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center" vertical="top"/>
    </xf>
    <xf numFmtId="164" fontId="2" fillId="0" borderId="0" xfId="2" applyNumberFormat="1" applyFont="1" applyBorder="1" applyAlignment="1">
      <alignment horizontal="center" vertical="top"/>
    </xf>
    <xf numFmtId="164" fontId="2" fillId="0" borderId="0" xfId="3" applyNumberFormat="1" applyFont="1" applyAlignment="1">
      <alignment vertical="top" wrapText="1"/>
    </xf>
    <xf numFmtId="164" fontId="2" fillId="0" borderId="0" xfId="11" applyNumberFormat="1" applyFont="1" applyAlignment="1">
      <alignment horizontal="center"/>
    </xf>
    <xf numFmtId="164" fontId="2" fillId="0" borderId="0" xfId="11" applyNumberFormat="1" applyFont="1" applyFill="1" applyAlignment="1">
      <alignment horizontal="center" vertical="top" wrapText="1"/>
    </xf>
    <xf numFmtId="41" fontId="5" fillId="0" borderId="0" xfId="7" applyNumberFormat="1" applyFont="1" applyFill="1" applyAlignment="1">
      <alignment horizontal="center" vertical="top" wrapText="1"/>
    </xf>
    <xf numFmtId="0" fontId="5" fillId="0" borderId="0" xfId="7" applyNumberFormat="1" applyFont="1" applyFill="1" applyAlignment="1">
      <alignment horizontal="left" vertical="top" wrapText="1" indent="2"/>
    </xf>
    <xf numFmtId="0" fontId="5" fillId="0" borderId="0" xfId="0" applyFont="1" applyAlignment="1">
      <alignment horizontal="center" vertical="top"/>
    </xf>
    <xf numFmtId="41" fontId="5" fillId="0" borderId="0" xfId="6" applyNumberFormat="1" applyFont="1" applyFill="1" applyBorder="1" applyAlignment="1">
      <alignment vertical="center" wrapText="1"/>
    </xf>
    <xf numFmtId="165" fontId="2" fillId="0" borderId="0" xfId="2" applyNumberFormat="1" applyFont="1" applyFill="1" applyBorder="1" applyAlignment="1">
      <alignment horizontal="left" vertical="center" wrapText="1"/>
    </xf>
    <xf numFmtId="164" fontId="2" fillId="0" borderId="0" xfId="2" applyNumberFormat="1" applyFont="1" applyFill="1" applyBorder="1" applyAlignment="1">
      <alignment horizontal="left" vertical="top"/>
    </xf>
    <xf numFmtId="164" fontId="2" fillId="0" borderId="0" xfId="0" applyNumberFormat="1" applyFont="1" applyFill="1" applyBorder="1" applyAlignment="1">
      <alignment horizontal="left"/>
    </xf>
    <xf numFmtId="164" fontId="5" fillId="0" borderId="0" xfId="2" applyNumberFormat="1" applyFont="1" applyFill="1" applyAlignment="1">
      <alignment horizontal="left" vertical="top"/>
    </xf>
    <xf numFmtId="164" fontId="2" fillId="0" borderId="0" xfId="11" applyNumberFormat="1" applyFont="1" applyFill="1" applyBorder="1" applyAlignment="1">
      <alignment horizontal="left" vertical="top"/>
    </xf>
    <xf numFmtId="41" fontId="2" fillId="0" borderId="0" xfId="0" applyNumberFormat="1" applyFont="1" applyFill="1" applyBorder="1" applyAlignment="1">
      <alignment horizontal="left" vertical="top"/>
    </xf>
    <xf numFmtId="165" fontId="2" fillId="2" borderId="0" xfId="3" applyNumberFormat="1" applyFont="1" applyFill="1" applyBorder="1" applyAlignment="1">
      <alignment horizontal="center" vertical="top"/>
    </xf>
    <xf numFmtId="164" fontId="2" fillId="4" borderId="0" xfId="2" applyNumberFormat="1" applyFont="1" applyFill="1" applyBorder="1" applyAlignment="1">
      <alignment vertical="top"/>
    </xf>
    <xf numFmtId="164" fontId="2" fillId="4" borderId="2" xfId="2" applyNumberFormat="1" applyFont="1" applyFill="1" applyBorder="1"/>
    <xf numFmtId="0" fontId="2" fillId="0" borderId="0" xfId="5" applyFont="1" applyFill="1" applyAlignment="1">
      <alignment vertical="top"/>
    </xf>
    <xf numFmtId="0" fontId="2" fillId="0" borderId="0" xfId="5" applyFont="1" applyFill="1" applyAlignment="1">
      <alignment horizontal="center" vertical="top"/>
    </xf>
    <xf numFmtId="165" fontId="2" fillId="0" borderId="0" xfId="5" quotePrefix="1" applyNumberFormat="1" applyFont="1" applyFill="1" applyAlignment="1">
      <alignment horizontal="center" vertical="top"/>
    </xf>
    <xf numFmtId="165" fontId="5" fillId="0" borderId="0" xfId="0" applyNumberFormat="1" applyFont="1" applyFill="1"/>
    <xf numFmtId="164" fontId="2" fillId="0" borderId="0" xfId="11" applyNumberFormat="1" applyFont="1" applyFill="1" applyBorder="1"/>
    <xf numFmtId="164" fontId="2" fillId="0" borderId="2" xfId="0" applyNumberFormat="1" applyFont="1" applyFill="1" applyBorder="1"/>
    <xf numFmtId="0" fontId="2" fillId="0" borderId="0" xfId="0" applyFont="1" applyFill="1" applyBorder="1"/>
    <xf numFmtId="164" fontId="5" fillId="0" borderId="0" xfId="2" applyNumberFormat="1" applyFont="1" applyFill="1" applyAlignment="1">
      <alignment horizontal="left" vertical="top" indent="1"/>
    </xf>
    <xf numFmtId="0" fontId="2" fillId="0" borderId="0" xfId="6" applyNumberFormat="1" applyFont="1" applyFill="1" applyBorder="1" applyAlignment="1">
      <alignment horizontal="left" vertical="top" wrapText="1" indent="1"/>
    </xf>
    <xf numFmtId="164" fontId="9" fillId="0" borderId="0" xfId="11" applyNumberFormat="1" applyFont="1" applyFill="1" applyAlignment="1">
      <alignment vertical="top"/>
    </xf>
    <xf numFmtId="164" fontId="2" fillId="0" borderId="0" xfId="6" applyNumberFormat="1" applyFont="1" applyFill="1" applyBorder="1" applyAlignment="1">
      <alignment vertical="top" wrapText="1"/>
    </xf>
    <xf numFmtId="0" fontId="5" fillId="0" borderId="0" xfId="5" applyFont="1" applyFill="1" applyBorder="1" applyAlignment="1">
      <alignment vertical="top"/>
    </xf>
    <xf numFmtId="164" fontId="2" fillId="0" borderId="0" xfId="11" applyNumberFormat="1" applyFont="1" applyFill="1"/>
    <xf numFmtId="0" fontId="5" fillId="0" borderId="0" xfId="5" applyFont="1" applyFill="1" applyAlignment="1">
      <alignment vertical="top"/>
    </xf>
    <xf numFmtId="165" fontId="5" fillId="0" borderId="0" xfId="5" quotePrefix="1" applyNumberFormat="1" applyFont="1" applyFill="1" applyAlignment="1">
      <alignment horizontal="center" vertical="top"/>
    </xf>
    <xf numFmtId="0" fontId="2" fillId="0" borderId="0" xfId="5" applyFont="1" applyFill="1"/>
    <xf numFmtId="0" fontId="2" fillId="0" borderId="0" xfId="6" applyNumberFormat="1" applyFont="1" applyFill="1" applyBorder="1" applyAlignment="1">
      <alignment horizontal="left" wrapText="1" indent="1"/>
    </xf>
    <xf numFmtId="164" fontId="5" fillId="0" borderId="0" xfId="2" applyNumberFormat="1" applyFont="1" applyFill="1" applyAlignment="1">
      <alignment wrapText="1"/>
    </xf>
    <xf numFmtId="165" fontId="5" fillId="0" borderId="0" xfId="2" quotePrefix="1" applyNumberFormat="1" applyFont="1" applyFill="1" applyAlignment="1">
      <alignment horizontal="center"/>
    </xf>
    <xf numFmtId="164" fontId="2" fillId="0" borderId="0" xfId="2" applyNumberFormat="1" applyFont="1" applyFill="1" applyBorder="1" applyAlignment="1"/>
    <xf numFmtId="164" fontId="2" fillId="0" borderId="0" xfId="10" applyNumberFormat="1" applyFont="1" applyFill="1" applyAlignment="1">
      <alignment vertical="top"/>
    </xf>
    <xf numFmtId="164" fontId="4" fillId="0" borderId="0" xfId="11" applyNumberFormat="1" applyFont="1" applyFill="1"/>
    <xf numFmtId="164" fontId="9" fillId="0" borderId="0" xfId="11" applyNumberFormat="1" applyFont="1" applyFill="1"/>
    <xf numFmtId="164" fontId="5" fillId="0" borderId="0" xfId="2" applyNumberFormat="1" applyFont="1" applyFill="1" applyAlignment="1">
      <alignment horizontal="left" vertical="top" indent="3"/>
    </xf>
    <xf numFmtId="0" fontId="5" fillId="0" borderId="0" xfId="14" applyFont="1" applyFill="1" applyAlignment="1">
      <alignment vertical="top" wrapText="1"/>
    </xf>
    <xf numFmtId="0" fontId="5" fillId="0" borderId="0" xfId="5" applyFont="1" applyFill="1" applyBorder="1" applyAlignment="1">
      <alignment horizontal="center" vertical="top"/>
    </xf>
    <xf numFmtId="165" fontId="5" fillId="0" borderId="0" xfId="5" quotePrefix="1" applyNumberFormat="1" applyFont="1" applyFill="1" applyBorder="1" applyAlignment="1">
      <alignment horizontal="center" vertical="top"/>
    </xf>
    <xf numFmtId="0" fontId="5" fillId="0" borderId="0" xfId="4" applyFont="1" applyFill="1"/>
    <xf numFmtId="164" fontId="2" fillId="4" borderId="2" xfId="11" applyNumberFormat="1" applyFont="1" applyFill="1" applyBorder="1" applyAlignment="1">
      <alignment vertical="top"/>
    </xf>
    <xf numFmtId="164" fontId="2" fillId="4" borderId="2" xfId="2" applyNumberFormat="1" applyFont="1" applyFill="1" applyBorder="1" applyAlignment="1">
      <alignment vertical="top"/>
    </xf>
    <xf numFmtId="164" fontId="2" fillId="5" borderId="0" xfId="6" applyNumberFormat="1" applyFont="1" applyFill="1" applyBorder="1" applyAlignment="1">
      <alignment vertical="top" wrapText="1"/>
    </xf>
    <xf numFmtId="164" fontId="2" fillId="5" borderId="2" xfId="6" applyNumberFormat="1" applyFont="1" applyFill="1" applyBorder="1" applyAlignment="1">
      <alignment vertical="top" wrapText="1"/>
    </xf>
    <xf numFmtId="165" fontId="5" fillId="0" borderId="0" xfId="2" applyNumberFormat="1" applyFont="1" applyFill="1"/>
    <xf numFmtId="165" fontId="5" fillId="0" borderId="0" xfId="3" applyNumberFormat="1" applyFont="1" applyFill="1" applyAlignment="1">
      <alignment horizontal="center" vertical="top"/>
    </xf>
    <xf numFmtId="164" fontId="2" fillId="5" borderId="0" xfId="3" applyNumberFormat="1" applyFont="1" applyFill="1" applyAlignment="1">
      <alignment vertical="top"/>
    </xf>
    <xf numFmtId="164" fontId="2" fillId="5" borderId="2" xfId="3" applyNumberFormat="1" applyFont="1" applyFill="1" applyBorder="1" applyAlignment="1">
      <alignment vertical="top"/>
    </xf>
    <xf numFmtId="164" fontId="2" fillId="5" borderId="0" xfId="2" applyNumberFormat="1" applyFont="1" applyFill="1" applyBorder="1" applyAlignment="1">
      <alignment vertical="top"/>
    </xf>
    <xf numFmtId="164" fontId="2" fillId="5" borderId="2" xfId="2" applyNumberFormat="1" applyFont="1" applyFill="1" applyBorder="1" applyAlignment="1">
      <alignment vertical="top"/>
    </xf>
    <xf numFmtId="0" fontId="5" fillId="0" borderId="0" xfId="7" applyNumberFormat="1" applyFont="1" applyFill="1" applyBorder="1" applyAlignment="1">
      <alignment horizontal="left" wrapText="1"/>
    </xf>
    <xf numFmtId="0" fontId="5" fillId="0" borderId="0" xfId="5" applyFont="1" applyFill="1" applyBorder="1" applyAlignment="1">
      <alignment horizontal="center"/>
    </xf>
    <xf numFmtId="165" fontId="5" fillId="0" borderId="0" xfId="5" applyNumberFormat="1" applyFont="1" applyFill="1" applyAlignment="1">
      <alignment horizontal="center"/>
    </xf>
    <xf numFmtId="164" fontId="5" fillId="0" borderId="0" xfId="2" applyNumberFormat="1" applyFont="1" applyFill="1" applyBorder="1" applyAlignment="1"/>
    <xf numFmtId="167" fontId="5" fillId="0" borderId="0" xfId="6" applyNumberFormat="1" applyFont="1" applyFill="1" applyBorder="1" applyAlignment="1">
      <alignment horizontal="center" wrapText="1"/>
    </xf>
    <xf numFmtId="0" fontId="5" fillId="0" borderId="0" xfId="4" applyFont="1" applyFill="1" applyAlignment="1">
      <alignment vertical="top" wrapText="1"/>
    </xf>
    <xf numFmtId="165" fontId="2" fillId="0" borderId="0" xfId="3" applyNumberFormat="1" applyFont="1" applyFill="1" applyAlignment="1">
      <alignment horizontal="center" vertical="top"/>
    </xf>
    <xf numFmtId="164" fontId="2" fillId="0" borderId="3" xfId="3" applyNumberFormat="1" applyFont="1" applyFill="1" applyBorder="1" applyAlignment="1">
      <alignment vertical="top"/>
    </xf>
    <xf numFmtId="164" fontId="2" fillId="0" borderId="0" xfId="2" applyNumberFormat="1" applyFont="1" applyFill="1" applyAlignment="1">
      <alignment vertical="top" wrapText="1"/>
    </xf>
    <xf numFmtId="164" fontId="2" fillId="0" borderId="0" xfId="2" applyNumberFormat="1" applyFont="1" applyFill="1" applyBorder="1" applyAlignment="1">
      <alignment horizontal="right" vertical="top"/>
    </xf>
    <xf numFmtId="164" fontId="2" fillId="0" borderId="0" xfId="2" applyNumberFormat="1" applyFont="1" applyFill="1" applyAlignment="1">
      <alignment horizontal="right" vertical="top"/>
    </xf>
    <xf numFmtId="0" fontId="2" fillId="0" borderId="0" xfId="7" applyNumberFormat="1" applyFont="1" applyFill="1" applyBorder="1" applyAlignment="1">
      <alignment horizontal="left" vertical="top" wrapText="1" indent="1"/>
    </xf>
    <xf numFmtId="164" fontId="2" fillId="5" borderId="0" xfId="2" applyNumberFormat="1" applyFont="1" applyFill="1" applyAlignment="1">
      <alignment vertical="top"/>
    </xf>
    <xf numFmtId="164" fontId="5" fillId="5" borderId="0" xfId="2" applyNumberFormat="1" applyFont="1" applyFill="1" applyBorder="1" applyAlignment="1">
      <alignment vertical="top"/>
    </xf>
    <xf numFmtId="0" fontId="2" fillId="0" borderId="0" xfId="5" applyFont="1" applyFill="1" applyAlignment="1">
      <alignment horizontal="center"/>
    </xf>
    <xf numFmtId="164" fontId="2" fillId="0" borderId="3" xfId="2" applyNumberFormat="1" applyFont="1" applyFill="1" applyBorder="1" applyAlignment="1">
      <alignment vertical="top"/>
    </xf>
    <xf numFmtId="164" fontId="5" fillId="0" borderId="0" xfId="2" applyNumberFormat="1" applyFont="1" applyFill="1" applyBorder="1"/>
    <xf numFmtId="0" fontId="4" fillId="0" borderId="0" xfId="2" applyNumberFormat="1" applyFont="1" applyFill="1" applyBorder="1" applyAlignment="1">
      <alignment vertical="top" wrapText="1"/>
    </xf>
    <xf numFmtId="164" fontId="9" fillId="0" borderId="0" xfId="2" applyNumberFormat="1" applyFont="1" applyFill="1" applyAlignment="1">
      <alignment vertical="top" wrapText="1"/>
    </xf>
    <xf numFmtId="0" fontId="4" fillId="0" borderId="0" xfId="0" applyFont="1" applyFill="1" applyAlignment="1">
      <alignment vertical="top" wrapText="1"/>
    </xf>
    <xf numFmtId="164" fontId="2" fillId="0" borderId="0" xfId="2" applyNumberFormat="1" applyFont="1" applyFill="1" applyBorder="1" applyAlignment="1">
      <alignment vertical="center"/>
    </xf>
    <xf numFmtId="164" fontId="2" fillId="5" borderId="0" xfId="2" applyNumberFormat="1" applyFont="1" applyFill="1" applyBorder="1" applyAlignment="1">
      <alignment vertical="center"/>
    </xf>
    <xf numFmtId="0" fontId="9" fillId="0" borderId="0" xfId="0" applyFont="1" applyFill="1" applyAlignment="1">
      <alignment vertical="top" wrapText="1"/>
    </xf>
    <xf numFmtId="164" fontId="2" fillId="0" borderId="0" xfId="2" applyNumberFormat="1" applyFont="1" applyFill="1" applyAlignment="1">
      <alignment horizontal="left" vertical="top" wrapText="1" indent="1"/>
    </xf>
    <xf numFmtId="165" fontId="5" fillId="0" borderId="0" xfId="2" quotePrefix="1" applyNumberFormat="1" applyFont="1" applyFill="1" applyAlignment="1">
      <alignment vertical="center"/>
    </xf>
    <xf numFmtId="165" fontId="2" fillId="0" borderId="0" xfId="2" quotePrefix="1" applyNumberFormat="1" applyFont="1" applyFill="1" applyBorder="1" applyAlignment="1">
      <alignment horizontal="center" vertical="top"/>
    </xf>
    <xf numFmtId="165" fontId="5" fillId="0" borderId="2" xfId="2" quotePrefix="1" applyNumberFormat="1" applyFont="1" applyFill="1" applyBorder="1" applyAlignment="1">
      <alignment horizontal="center" vertical="top"/>
    </xf>
    <xf numFmtId="165" fontId="5" fillId="0" borderId="0" xfId="2" quotePrefix="1" applyNumberFormat="1" applyFont="1" applyFill="1" applyAlignment="1">
      <alignment horizontal="center" vertical="center"/>
    </xf>
    <xf numFmtId="164" fontId="5" fillId="0" borderId="0" xfId="2" applyNumberFormat="1" applyFont="1" applyFill="1" applyBorder="1" applyAlignment="1">
      <alignment vertical="top" wrapText="1"/>
    </xf>
    <xf numFmtId="164" fontId="9" fillId="0" borderId="0" xfId="2" quotePrefix="1" applyNumberFormat="1" applyFont="1" applyFill="1" applyAlignment="1">
      <alignment horizontal="left" vertical="top" wrapText="1"/>
    </xf>
    <xf numFmtId="164" fontId="9" fillId="0" borderId="0" xfId="2" quotePrefix="1" applyNumberFormat="1" applyFont="1" applyFill="1" applyAlignment="1">
      <alignment vertical="top" wrapText="1"/>
    </xf>
    <xf numFmtId="164" fontId="2" fillId="0" borderId="0" xfId="8" applyNumberFormat="1" applyFont="1" applyFill="1" applyAlignment="1">
      <alignment vertical="top" wrapText="1"/>
    </xf>
    <xf numFmtId="164" fontId="2" fillId="5" borderId="0" xfId="11" applyNumberFormat="1" applyFont="1" applyFill="1" applyBorder="1" applyAlignment="1">
      <alignment vertical="top"/>
    </xf>
    <xf numFmtId="164" fontId="5" fillId="0" borderId="2" xfId="11" applyNumberFormat="1" applyFont="1" applyFill="1" applyBorder="1" applyAlignment="1">
      <alignment horizontal="center" vertical="top" wrapText="1"/>
    </xf>
    <xf numFmtId="165" fontId="5" fillId="0" borderId="0" xfId="7" applyNumberFormat="1" applyFont="1" applyFill="1" applyBorder="1" applyAlignment="1">
      <alignment horizontal="center" vertical="top" wrapText="1"/>
    </xf>
    <xf numFmtId="0" fontId="2" fillId="0" borderId="0" xfId="7" applyNumberFormat="1" applyFont="1" applyFill="1" applyBorder="1" applyAlignment="1">
      <alignment horizontal="left" vertical="top" wrapText="1"/>
    </xf>
    <xf numFmtId="0" fontId="2" fillId="0" borderId="0" xfId="7" applyNumberFormat="1" applyFont="1" applyFill="1" applyBorder="1" applyAlignment="1">
      <alignment horizontal="center" vertical="top" wrapText="1"/>
    </xf>
    <xf numFmtId="165" fontId="2" fillId="0" borderId="0" xfId="7" applyNumberFormat="1" applyFont="1" applyFill="1" applyBorder="1" applyAlignment="1">
      <alignment horizontal="center" vertical="top" wrapText="1"/>
    </xf>
    <xf numFmtId="164" fontId="2" fillId="0" borderId="2" xfId="7" applyNumberFormat="1" applyFont="1" applyFill="1" applyBorder="1" applyAlignment="1">
      <alignment vertical="top" wrapText="1"/>
    </xf>
    <xf numFmtId="164" fontId="5" fillId="0" borderId="0" xfId="8" applyNumberFormat="1" applyFont="1" applyFill="1" applyAlignment="1">
      <alignment horizontal="left" vertical="top"/>
    </xf>
    <xf numFmtId="165" fontId="5" fillId="0" borderId="0" xfId="2" applyNumberFormat="1" applyFont="1" applyFill="1" applyAlignment="1"/>
    <xf numFmtId="164" fontId="5" fillId="0" borderId="0" xfId="11" applyNumberFormat="1" applyFont="1" applyFill="1" applyBorder="1" applyAlignment="1">
      <alignment vertical="center" wrapText="1"/>
    </xf>
    <xf numFmtId="164" fontId="5" fillId="0" borderId="0" xfId="6" applyNumberFormat="1" applyFont="1" applyFill="1" applyBorder="1" applyAlignment="1">
      <alignment wrapText="1"/>
    </xf>
    <xf numFmtId="164" fontId="2" fillId="0" borderId="0" xfId="11" applyNumberFormat="1" applyFont="1" applyFill="1" applyBorder="1" applyAlignment="1">
      <alignment wrapText="1"/>
    </xf>
    <xf numFmtId="0" fontId="5" fillId="0" borderId="0" xfId="6" applyNumberFormat="1" applyFont="1" applyFill="1" applyBorder="1" applyAlignment="1">
      <alignment horizontal="center" wrapText="1"/>
    </xf>
    <xf numFmtId="165" fontId="5" fillId="0" borderId="0" xfId="6" applyNumberFormat="1" applyFont="1" applyFill="1" applyBorder="1" applyAlignment="1">
      <alignment horizontal="center" wrapText="1"/>
    </xf>
    <xf numFmtId="164" fontId="5" fillId="0" borderId="2" xfId="6" applyNumberFormat="1" applyFont="1" applyFill="1" applyBorder="1" applyAlignment="1">
      <alignment wrapText="1"/>
    </xf>
    <xf numFmtId="0" fontId="2" fillId="0" borderId="0" xfId="7" applyNumberFormat="1" applyFont="1" applyFill="1" applyBorder="1" applyAlignment="1">
      <alignment vertical="top" wrapText="1"/>
    </xf>
    <xf numFmtId="0" fontId="2" fillId="0" borderId="0" xfId="6" applyNumberFormat="1" applyFont="1" applyFill="1" applyBorder="1" applyAlignment="1">
      <alignment horizontal="center" vertical="top" wrapText="1"/>
    </xf>
    <xf numFmtId="165" fontId="2" fillId="0" borderId="0" xfId="6" applyNumberFormat="1" applyFont="1" applyFill="1" applyBorder="1" applyAlignment="1">
      <alignment horizontal="center" vertical="top" wrapText="1"/>
    </xf>
    <xf numFmtId="0" fontId="5" fillId="0" borderId="0" xfId="5" applyFont="1" applyFill="1" applyAlignment="1">
      <alignment horizontal="left" vertical="top" indent="2"/>
    </xf>
    <xf numFmtId="0" fontId="5" fillId="0" borderId="0" xfId="5" applyFont="1" applyFill="1" applyAlignment="1">
      <alignment horizontal="left" vertical="top"/>
    </xf>
    <xf numFmtId="0" fontId="4" fillId="0" borderId="0" xfId="7" applyNumberFormat="1" applyFont="1" applyFill="1" applyBorder="1" applyAlignment="1">
      <alignment horizontal="left" vertical="top" wrapText="1" indent="3"/>
    </xf>
    <xf numFmtId="164" fontId="2" fillId="0" borderId="0" xfId="11" applyNumberFormat="1" applyFont="1" applyFill="1" applyAlignment="1">
      <alignment horizontal="center"/>
    </xf>
    <xf numFmtId="165" fontId="5" fillId="0" borderId="0" xfId="2" applyNumberFormat="1" applyFont="1" applyFill="1" applyBorder="1" applyAlignment="1">
      <alignment horizontal="center" vertical="top"/>
    </xf>
    <xf numFmtId="165" fontId="5" fillId="0" borderId="0" xfId="2" applyNumberFormat="1" applyFont="1" applyFill="1" applyBorder="1" applyAlignment="1">
      <alignment horizontal="center" vertical="center"/>
    </xf>
    <xf numFmtId="164" fontId="2" fillId="5" borderId="0" xfId="2" applyNumberFormat="1" applyFont="1" applyFill="1" applyBorder="1" applyAlignment="1">
      <alignment horizontal="center" vertical="top"/>
    </xf>
    <xf numFmtId="164" fontId="2" fillId="5" borderId="2" xfId="2" applyNumberFormat="1" applyFont="1" applyFill="1" applyBorder="1" applyAlignment="1">
      <alignment horizontal="center" vertical="top"/>
    </xf>
    <xf numFmtId="0" fontId="5" fillId="0" borderId="0" xfId="0" applyFont="1" applyFill="1" applyBorder="1" applyAlignment="1">
      <alignment wrapText="1"/>
    </xf>
    <xf numFmtId="165" fontId="5" fillId="0" borderId="0" xfId="0" quotePrefix="1" applyNumberFormat="1" applyFont="1" applyFill="1" applyBorder="1" applyAlignment="1">
      <alignment horizontal="center"/>
    </xf>
    <xf numFmtId="167" fontId="5" fillId="0" borderId="0" xfId="0" quotePrefix="1" applyNumberFormat="1" applyFont="1" applyFill="1" applyBorder="1" applyAlignment="1">
      <alignment horizontal="center"/>
    </xf>
    <xf numFmtId="0" fontId="5" fillId="0" borderId="0" xfId="0" applyFont="1" applyFill="1" applyBorder="1" applyAlignment="1">
      <alignment horizontal="left" wrapText="1"/>
    </xf>
    <xf numFmtId="0" fontId="2" fillId="0" borderId="0" xfId="0" applyFont="1" applyFill="1" applyBorder="1" applyAlignment="1">
      <alignment horizontal="left" wrapText="1" indent="1"/>
    </xf>
    <xf numFmtId="165" fontId="2" fillId="0" borderId="0" xfId="0" quotePrefix="1" applyNumberFormat="1" applyFont="1" applyFill="1" applyBorder="1" applyAlignment="1">
      <alignment horizontal="center"/>
    </xf>
    <xf numFmtId="164" fontId="2" fillId="5" borderId="0" xfId="3" applyNumberFormat="1" applyFont="1" applyFill="1" applyBorder="1"/>
    <xf numFmtId="164" fontId="2" fillId="5" borderId="0" xfId="11" quotePrefix="1" applyNumberFormat="1" applyFont="1" applyFill="1" applyBorder="1" applyAlignment="1">
      <alignment horizontal="center"/>
    </xf>
    <xf numFmtId="164" fontId="2" fillId="5" borderId="2" xfId="11" quotePrefix="1" applyNumberFormat="1" applyFont="1" applyFill="1" applyBorder="1" applyAlignment="1">
      <alignment horizontal="center"/>
    </xf>
    <xf numFmtId="164" fontId="2" fillId="0" borderId="0" xfId="11" quotePrefix="1" applyNumberFormat="1" applyFont="1" applyFill="1" applyBorder="1" applyAlignment="1">
      <alignment horizontal="center"/>
    </xf>
    <xf numFmtId="164" fontId="5" fillId="0" borderId="0" xfId="11" quotePrefix="1" applyNumberFormat="1" applyFont="1" applyFill="1" applyBorder="1" applyAlignment="1">
      <alignment horizontal="center"/>
    </xf>
    <xf numFmtId="164" fontId="5" fillId="0" borderId="0" xfId="11" applyNumberFormat="1" applyFont="1" applyFill="1" applyBorder="1" applyAlignment="1">
      <alignment horizontal="center"/>
    </xf>
    <xf numFmtId="165" fontId="5" fillId="0" borderId="0" xfId="0" applyNumberFormat="1" applyFont="1" applyFill="1" applyAlignment="1">
      <alignment horizontal="center"/>
    </xf>
    <xf numFmtId="41" fontId="5" fillId="0" borderId="0" xfId="0" applyNumberFormat="1" applyFont="1" applyFill="1" applyBorder="1" applyAlignment="1">
      <alignment horizontal="center"/>
    </xf>
    <xf numFmtId="41" fontId="5" fillId="0" borderId="0" xfId="0" applyNumberFormat="1" applyFont="1" applyFill="1" applyAlignment="1">
      <alignment horizontal="center"/>
    </xf>
    <xf numFmtId="0" fontId="5" fillId="0" borderId="0" xfId="5" applyFont="1" applyFill="1" applyBorder="1"/>
    <xf numFmtId="165" fontId="5" fillId="0" borderId="0" xfId="5" applyNumberFormat="1" applyFont="1" applyFill="1"/>
    <xf numFmtId="0" fontId="5" fillId="0" borderId="0" xfId="14" applyFont="1" applyFill="1" applyAlignment="1">
      <alignment horizontal="left" vertical="top" wrapText="1" indent="1"/>
    </xf>
    <xf numFmtId="0" fontId="5" fillId="0" borderId="0" xfId="14" applyFont="1" applyFill="1" applyAlignment="1">
      <alignment vertical="top"/>
    </xf>
    <xf numFmtId="164" fontId="2" fillId="0" borderId="0" xfId="5" applyNumberFormat="1" applyFont="1" applyFill="1"/>
    <xf numFmtId="0" fontId="2" fillId="0" borderId="0" xfId="5" applyFont="1" applyFill="1" applyBorder="1" applyAlignment="1">
      <alignment horizontal="center" vertical="top" wrapText="1"/>
    </xf>
    <xf numFmtId="165" fontId="2" fillId="0" borderId="0" xfId="5" applyNumberFormat="1" applyFont="1" applyFill="1" applyAlignment="1">
      <alignment horizontal="center" vertical="top"/>
    </xf>
    <xf numFmtId="0" fontId="2" fillId="0" borderId="0" xfId="4" applyFont="1" applyFill="1" applyAlignment="1">
      <alignment vertical="top"/>
    </xf>
    <xf numFmtId="0" fontId="2" fillId="0" borderId="0" xfId="4" applyFont="1" applyFill="1" applyAlignment="1">
      <alignment horizontal="center" vertical="top"/>
    </xf>
    <xf numFmtId="165" fontId="2" fillId="0" borderId="0" xfId="4" quotePrefix="1" applyNumberFormat="1" applyFont="1" applyFill="1" applyAlignment="1">
      <alignment horizontal="center" vertical="top"/>
    </xf>
    <xf numFmtId="164" fontId="5" fillId="0" borderId="0" xfId="11" applyNumberFormat="1" applyFont="1" applyFill="1" applyBorder="1" applyAlignment="1">
      <alignment horizontal="left" wrapText="1" indent="4"/>
    </xf>
    <xf numFmtId="164" fontId="5" fillId="0" borderId="0" xfId="11" applyNumberFormat="1" applyFont="1" applyFill="1" applyBorder="1" applyAlignment="1"/>
    <xf numFmtId="164" fontId="2" fillId="0" borderId="0" xfId="3" applyNumberFormat="1" applyFont="1" applyFill="1" applyBorder="1" applyAlignment="1">
      <alignment horizontal="left" vertical="top" indent="1"/>
    </xf>
    <xf numFmtId="0" fontId="5" fillId="0" borderId="0" xfId="2" applyNumberFormat="1" applyFont="1" applyFill="1" applyBorder="1" applyAlignment="1">
      <alignment vertical="top" wrapText="1"/>
    </xf>
    <xf numFmtId="165" fontId="2" fillId="0" borderId="0" xfId="2" applyNumberFormat="1" applyFont="1" applyFill="1" applyBorder="1" applyAlignment="1">
      <alignment horizontal="center" vertical="top" wrapText="1"/>
    </xf>
    <xf numFmtId="164" fontId="2" fillId="0" borderId="2" xfId="2" applyNumberFormat="1" applyFont="1" applyFill="1" applyBorder="1" applyAlignment="1">
      <alignment horizontal="center" vertical="top"/>
    </xf>
    <xf numFmtId="164" fontId="2" fillId="0" borderId="0" xfId="3" applyNumberFormat="1" applyFont="1" applyFill="1" applyBorder="1" applyAlignment="1">
      <alignment horizontal="left" vertical="center" indent="1"/>
    </xf>
    <xf numFmtId="164" fontId="9" fillId="0" borderId="0" xfId="0" applyNumberFormat="1" applyFont="1" applyFill="1" applyAlignment="1">
      <alignment vertical="top"/>
    </xf>
    <xf numFmtId="0" fontId="9" fillId="0" borderId="0" xfId="0" applyFont="1" applyFill="1" applyAlignment="1">
      <alignment horizontal="center"/>
    </xf>
    <xf numFmtId="0" fontId="9" fillId="0" borderId="0" xfId="0" applyFont="1" applyFill="1" applyAlignment="1">
      <alignment vertical="top"/>
    </xf>
    <xf numFmtId="0" fontId="9" fillId="0" borderId="0" xfId="0" applyFont="1" applyFill="1"/>
    <xf numFmtId="164" fontId="9" fillId="0" borderId="2" xfId="0" applyNumberFormat="1" applyFont="1" applyFill="1" applyBorder="1"/>
    <xf numFmtId="168" fontId="4" fillId="0" borderId="0" xfId="14" applyNumberFormat="1" applyFont="1" applyFill="1" applyAlignment="1">
      <alignment horizontal="left" vertical="top" wrapText="1" indent="1"/>
    </xf>
    <xf numFmtId="168" fontId="4" fillId="0" borderId="0" xfId="5" applyNumberFormat="1" applyFont="1" applyFill="1" applyAlignment="1">
      <alignment horizontal="justify" vertical="top"/>
    </xf>
    <xf numFmtId="14" fontId="4" fillId="0" borderId="0" xfId="5" applyNumberFormat="1" applyFont="1" applyFill="1" applyAlignment="1">
      <alignment horizontal="center" vertical="top"/>
    </xf>
    <xf numFmtId="165" fontId="4" fillId="0" borderId="0" xfId="5" applyNumberFormat="1" applyFont="1" applyFill="1" applyAlignment="1">
      <alignment horizontal="center" vertical="top"/>
    </xf>
    <xf numFmtId="164" fontId="9" fillId="0" borderId="0" xfId="10" applyNumberFormat="1" applyFont="1" applyFill="1" applyBorder="1" applyAlignment="1">
      <alignment vertical="center"/>
    </xf>
    <xf numFmtId="164" fontId="4" fillId="0" borderId="0" xfId="2" applyNumberFormat="1" applyFont="1" applyFill="1" applyAlignment="1">
      <alignment vertical="top"/>
    </xf>
    <xf numFmtId="164" fontId="4" fillId="0" borderId="0" xfId="10" applyNumberFormat="1" applyFont="1" applyFill="1" applyBorder="1" applyAlignment="1">
      <alignment vertical="center"/>
    </xf>
    <xf numFmtId="0" fontId="4" fillId="0" borderId="0" xfId="7" applyNumberFormat="1" applyFont="1" applyFill="1" applyBorder="1" applyAlignment="1">
      <alignment horizontal="left" vertical="top" wrapText="1" indent="1"/>
    </xf>
    <xf numFmtId="0" fontId="4" fillId="0" borderId="0" xfId="7" applyNumberFormat="1" applyFont="1" applyFill="1" applyBorder="1" applyAlignment="1">
      <alignment horizontal="left" vertical="top" wrapText="1"/>
    </xf>
    <xf numFmtId="0" fontId="4" fillId="0" borderId="0" xfId="6" applyNumberFormat="1" applyFont="1" applyFill="1" applyBorder="1" applyAlignment="1">
      <alignment horizontal="center" vertical="top" wrapText="1"/>
    </xf>
    <xf numFmtId="165" fontId="4" fillId="0" borderId="0" xfId="6" applyNumberFormat="1" applyFont="1" applyFill="1" applyBorder="1" applyAlignment="1">
      <alignment horizontal="center" vertical="top" wrapText="1"/>
    </xf>
    <xf numFmtId="167" fontId="4" fillId="0" borderId="0" xfId="6" applyNumberFormat="1" applyFont="1" applyFill="1" applyBorder="1" applyAlignment="1">
      <alignment horizontal="center" vertical="top" wrapText="1"/>
    </xf>
    <xf numFmtId="164" fontId="4" fillId="0" borderId="0" xfId="6" applyNumberFormat="1" applyFont="1" applyFill="1" applyBorder="1" applyAlignment="1">
      <alignment vertical="top" wrapText="1"/>
    </xf>
    <xf numFmtId="168" fontId="4" fillId="0" borderId="0" xfId="5" applyNumberFormat="1" applyFont="1" applyFill="1" applyAlignment="1">
      <alignment horizontal="justify"/>
    </xf>
    <xf numFmtId="14" fontId="4" fillId="0" borderId="0" xfId="5" applyNumberFormat="1" applyFont="1" applyFill="1" applyAlignment="1">
      <alignment horizontal="center"/>
    </xf>
    <xf numFmtId="165" fontId="4" fillId="0" borderId="0" xfId="5" applyNumberFormat="1" applyFont="1" applyFill="1" applyAlignment="1">
      <alignment horizontal="center"/>
    </xf>
    <xf numFmtId="164" fontId="4" fillId="0" borderId="0" xfId="2" applyNumberFormat="1" applyFont="1" applyFill="1" applyAlignment="1"/>
    <xf numFmtId="168" fontId="4" fillId="0" borderId="0" xfId="14" applyNumberFormat="1" applyFont="1" applyFill="1" applyAlignment="1">
      <alignment horizontal="justify" vertical="top" wrapText="1"/>
    </xf>
    <xf numFmtId="168" fontId="4" fillId="0" borderId="0" xfId="14" applyNumberFormat="1" applyFont="1" applyFill="1" applyAlignment="1">
      <alignment horizontal="justify" vertical="top"/>
    </xf>
    <xf numFmtId="0" fontId="4" fillId="0" borderId="0" xfId="6" applyNumberFormat="1" applyFont="1" applyFill="1" applyBorder="1" applyAlignment="1">
      <alignment horizontal="left" vertical="top"/>
    </xf>
    <xf numFmtId="164" fontId="9" fillId="0" borderId="2" xfId="2" applyNumberFormat="1" applyFont="1" applyFill="1" applyBorder="1" applyAlignment="1">
      <alignment vertical="top"/>
    </xf>
    <xf numFmtId="168" fontId="4" fillId="0" borderId="0" xfId="14" applyNumberFormat="1" applyFont="1" applyFill="1" applyAlignment="1">
      <alignment horizontal="left" vertical="top" wrapText="1"/>
    </xf>
    <xf numFmtId="164" fontId="9" fillId="0" borderId="2" xfId="11" applyNumberFormat="1" applyFont="1" applyFill="1" applyBorder="1" applyAlignment="1">
      <alignment horizontal="center" vertical="top"/>
    </xf>
    <xf numFmtId="0" fontId="9" fillId="0" borderId="0" xfId="7" applyNumberFormat="1" applyFont="1" applyFill="1" applyBorder="1" applyAlignment="1">
      <alignment horizontal="left" vertical="top" wrapText="1" indent="1"/>
    </xf>
    <xf numFmtId="164" fontId="9" fillId="0" borderId="2" xfId="11" applyNumberFormat="1" applyFont="1" applyFill="1" applyBorder="1" applyAlignment="1">
      <alignment horizontal="left" vertical="top" wrapText="1"/>
    </xf>
    <xf numFmtId="9" fontId="4" fillId="0" borderId="0" xfId="17" applyFont="1" applyFill="1" applyAlignment="1">
      <alignment horizontal="justify" vertical="top"/>
    </xf>
    <xf numFmtId="164" fontId="9" fillId="0" borderId="0" xfId="2" applyNumberFormat="1" applyFont="1" applyFill="1" applyAlignment="1">
      <alignment vertical="top"/>
    </xf>
    <xf numFmtId="164" fontId="9" fillId="0" borderId="2" xfId="11" applyNumberFormat="1" applyFont="1" applyFill="1" applyBorder="1" applyAlignment="1">
      <alignment vertical="top"/>
    </xf>
    <xf numFmtId="164" fontId="9" fillId="0" borderId="0" xfId="11" applyNumberFormat="1" applyFont="1" applyFill="1" applyBorder="1" applyAlignment="1">
      <alignment vertical="top"/>
    </xf>
    <xf numFmtId="168" fontId="4" fillId="0" borderId="0" xfId="4" applyNumberFormat="1" applyFont="1" applyFill="1" applyAlignment="1">
      <alignment horizontal="justify" vertical="top"/>
    </xf>
    <xf numFmtId="14" fontId="4" fillId="0" borderId="0" xfId="4" applyNumberFormat="1" applyFont="1" applyFill="1" applyAlignment="1">
      <alignment horizontal="center" vertical="top"/>
    </xf>
    <xf numFmtId="165" fontId="4" fillId="0" borderId="0" xfId="4" applyNumberFormat="1" applyFont="1" applyFill="1" applyAlignment="1">
      <alignment horizontal="center" vertical="top"/>
    </xf>
    <xf numFmtId="168" fontId="5" fillId="0" borderId="0" xfId="14" applyNumberFormat="1" applyFont="1" applyFill="1" applyAlignment="1">
      <alignment horizontal="justify" vertical="top" wrapText="1"/>
    </xf>
    <xf numFmtId="164" fontId="9" fillId="0" borderId="0" xfId="2" applyNumberFormat="1" applyFont="1" applyFill="1" applyBorder="1" applyAlignment="1">
      <alignment vertical="top"/>
    </xf>
    <xf numFmtId="168" fontId="5" fillId="0" borderId="0" xfId="14" applyNumberFormat="1" applyFont="1" applyFill="1" applyAlignment="1">
      <alignment horizontal="left" vertical="top" wrapText="1"/>
    </xf>
    <xf numFmtId="164" fontId="9" fillId="0" borderId="0" xfId="6" applyNumberFormat="1" applyFont="1" applyFill="1" applyBorder="1" applyAlignment="1">
      <alignment vertical="top" wrapText="1"/>
    </xf>
    <xf numFmtId="0" fontId="4" fillId="0" borderId="0" xfId="14" applyFont="1" applyFill="1" applyAlignment="1">
      <alignment vertical="top" wrapText="1"/>
    </xf>
    <xf numFmtId="0" fontId="4" fillId="0" borderId="0" xfId="5" applyFont="1" applyFill="1" applyAlignment="1">
      <alignment vertical="top" wrapText="1"/>
    </xf>
    <xf numFmtId="0" fontId="9" fillId="0" borderId="0" xfId="5" applyFont="1" applyFill="1" applyAlignment="1">
      <alignment vertical="top"/>
    </xf>
    <xf numFmtId="164" fontId="9" fillId="0" borderId="0" xfId="10" applyNumberFormat="1" applyFont="1" applyFill="1" applyBorder="1" applyAlignment="1">
      <alignment vertical="top"/>
    </xf>
    <xf numFmtId="167" fontId="9" fillId="0" borderId="0" xfId="6" applyNumberFormat="1" applyFont="1" applyFill="1" applyBorder="1" applyAlignment="1">
      <alignment horizontal="center" vertical="top" wrapText="1"/>
    </xf>
    <xf numFmtId="164" fontId="5" fillId="5" borderId="0" xfId="3" applyNumberFormat="1" applyFont="1" applyFill="1" applyAlignment="1">
      <alignment vertical="top"/>
    </xf>
    <xf numFmtId="164" fontId="2" fillId="0" borderId="2" xfId="11" applyNumberFormat="1" applyFont="1" applyFill="1" applyBorder="1"/>
    <xf numFmtId="0" fontId="12" fillId="0" borderId="0" xfId="0" applyFont="1" applyFill="1" applyBorder="1" applyAlignment="1">
      <alignment vertical="top"/>
    </xf>
    <xf numFmtId="164" fontId="9" fillId="0" borderId="0" xfId="11" applyNumberFormat="1" applyFont="1" applyFill="1" applyBorder="1"/>
    <xf numFmtId="0" fontId="5" fillId="0" borderId="0" xfId="0" applyFont="1" applyFill="1" applyBorder="1" applyAlignment="1">
      <alignment vertical="top"/>
    </xf>
    <xf numFmtId="0" fontId="5" fillId="0" borderId="0" xfId="0" applyFont="1" applyFill="1" applyBorder="1" applyAlignment="1">
      <alignment vertical="top" wrapText="1"/>
    </xf>
    <xf numFmtId="165" fontId="5" fillId="0" borderId="0" xfId="0" quotePrefix="1" applyNumberFormat="1" applyFont="1" applyFill="1" applyBorder="1" applyAlignment="1">
      <alignment horizontal="center" vertical="top"/>
    </xf>
    <xf numFmtId="167" fontId="5" fillId="0" borderId="0" xfId="0" quotePrefix="1" applyNumberFormat="1" applyFont="1" applyFill="1" applyBorder="1" applyAlignment="1">
      <alignment horizontal="center" vertical="top"/>
    </xf>
    <xf numFmtId="164" fontId="9" fillId="0" borderId="0" xfId="11" applyNumberFormat="1" applyFont="1" applyAlignment="1">
      <alignment vertical="top"/>
    </xf>
    <xf numFmtId="0" fontId="4" fillId="0" borderId="0" xfId="0" applyFont="1" applyFill="1" applyBorder="1" applyAlignment="1">
      <alignment horizontal="left" indent="3"/>
    </xf>
    <xf numFmtId="165"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5" fillId="0" borderId="0" xfId="0" applyFont="1" applyFill="1" applyBorder="1" applyAlignment="1">
      <alignment horizontal="left" vertical="center" indent="3"/>
    </xf>
    <xf numFmtId="0" fontId="5" fillId="0" borderId="0" xfId="0" applyFont="1" applyFill="1" applyBorder="1" applyAlignment="1">
      <alignment horizontal="left" indent="3"/>
    </xf>
    <xf numFmtId="0" fontId="4" fillId="0" borderId="0" xfId="0" applyFont="1" applyFill="1" applyBorder="1" applyAlignment="1">
      <alignment horizontal="left" wrapText="1" indent="2"/>
    </xf>
    <xf numFmtId="0" fontId="5" fillId="0" borderId="0" xfId="0" applyFont="1" applyFill="1" applyBorder="1" applyAlignment="1">
      <alignment horizontal="left" vertical="top" indent="3"/>
    </xf>
    <xf numFmtId="0" fontId="5" fillId="0" borderId="0" xfId="7" applyNumberFormat="1" applyFont="1" applyFill="1" applyBorder="1" applyAlignment="1"/>
    <xf numFmtId="0" fontId="2" fillId="0" borderId="0" xfId="7" applyNumberFormat="1" applyFont="1" applyFill="1" applyBorder="1" applyAlignment="1"/>
    <xf numFmtId="165" fontId="5" fillId="0" borderId="0" xfId="7" applyNumberFormat="1" applyFont="1" applyFill="1" applyAlignment="1">
      <alignment horizontal="center" wrapText="1"/>
    </xf>
    <xf numFmtId="41" fontId="5" fillId="0" borderId="0" xfId="7" applyNumberFormat="1" applyFont="1" applyFill="1" applyBorder="1" applyAlignment="1">
      <alignment horizontal="left" wrapText="1"/>
    </xf>
    <xf numFmtId="164" fontId="9" fillId="0" borderId="2" xfId="11" applyNumberFormat="1" applyFont="1" applyBorder="1" applyAlignment="1">
      <alignment vertical="top"/>
    </xf>
    <xf numFmtId="0" fontId="5" fillId="0" borderId="0" xfId="0" applyFont="1" applyFill="1" applyBorder="1" applyAlignment="1">
      <alignment horizontal="left" indent="2"/>
    </xf>
    <xf numFmtId="0" fontId="2" fillId="0" borderId="0" xfId="7" applyNumberFormat="1" applyFont="1" applyFill="1" applyBorder="1" applyAlignment="1">
      <alignment horizontal="left" vertical="top" indent="1"/>
    </xf>
    <xf numFmtId="41" fontId="2" fillId="0" borderId="0" xfId="7" applyNumberFormat="1" applyFont="1" applyFill="1" applyBorder="1" applyAlignment="1">
      <alignment horizontal="left" wrapText="1"/>
    </xf>
    <xf numFmtId="0" fontId="5" fillId="0" borderId="0" xfId="0" applyFont="1" applyFill="1" applyBorder="1" applyAlignment="1">
      <alignment horizontal="left" wrapText="1" indent="2"/>
    </xf>
    <xf numFmtId="167" fontId="5" fillId="0" borderId="0" xfId="0" applyNumberFormat="1" applyFont="1" applyFill="1" applyBorder="1" applyAlignment="1">
      <alignment horizontal="center" wrapText="1"/>
    </xf>
    <xf numFmtId="164" fontId="9" fillId="0" borderId="2" xfId="11" applyNumberFormat="1" applyFont="1" applyFill="1" applyBorder="1"/>
    <xf numFmtId="0" fontId="5" fillId="0" borderId="0" xfId="5" applyFont="1" applyFill="1" applyBorder="1" applyAlignment="1">
      <alignment vertical="top" wrapText="1"/>
    </xf>
    <xf numFmtId="0" fontId="2" fillId="0" borderId="0" xfId="5" applyFont="1" applyFill="1" applyAlignment="1"/>
    <xf numFmtId="0" fontId="5" fillId="0" borderId="0" xfId="5" applyFont="1" applyFill="1" applyBorder="1" applyAlignment="1">
      <alignment horizontal="left" vertical="top" wrapText="1"/>
    </xf>
    <xf numFmtId="0" fontId="2" fillId="0" borderId="0" xfId="5" applyFont="1" applyFill="1" applyBorder="1" applyAlignment="1">
      <alignment vertical="top"/>
    </xf>
    <xf numFmtId="165" fontId="5" fillId="0" borderId="0" xfId="0" quotePrefix="1" applyNumberFormat="1" applyFont="1" applyFill="1" applyAlignment="1">
      <alignment horizontal="center" vertical="top"/>
    </xf>
    <xf numFmtId="0" fontId="5" fillId="0" borderId="0" xfId="0" applyFont="1" applyFill="1" applyBorder="1" applyAlignment="1">
      <alignment horizontal="left" vertical="top" wrapText="1" indent="2"/>
    </xf>
    <xf numFmtId="164" fontId="2" fillId="7" borderId="0" xfId="3" applyNumberFormat="1" applyFont="1" applyFill="1" applyAlignment="1">
      <alignment vertical="top"/>
    </xf>
    <xf numFmtId="164" fontId="5" fillId="7" borderId="0" xfId="3" applyNumberFormat="1" applyFont="1" applyFill="1" applyAlignment="1">
      <alignment vertical="top"/>
    </xf>
    <xf numFmtId="164" fontId="2" fillId="0" borderId="0" xfId="11" applyNumberFormat="1" applyFont="1" applyAlignment="1">
      <alignment vertical="top"/>
    </xf>
    <xf numFmtId="165" fontId="5" fillId="0" borderId="0" xfId="3" applyNumberFormat="1" applyFont="1" applyAlignment="1">
      <alignment horizontal="center" vertical="top"/>
    </xf>
    <xf numFmtId="164" fontId="5" fillId="2" borderId="0" xfId="2" applyNumberFormat="1" applyFont="1" applyFill="1" applyBorder="1" applyAlignment="1">
      <alignment vertical="top" wrapText="1"/>
    </xf>
    <xf numFmtId="164" fontId="2" fillId="2" borderId="0" xfId="2" applyNumberFormat="1" applyFont="1" applyFill="1" applyBorder="1" applyAlignment="1">
      <alignment horizontal="center" vertical="top"/>
    </xf>
    <xf numFmtId="165" fontId="2" fillId="2" borderId="0" xfId="2" applyNumberFormat="1" applyFont="1" applyFill="1" applyBorder="1" applyAlignment="1">
      <alignment horizontal="center" vertical="top"/>
    </xf>
    <xf numFmtId="164" fontId="2" fillId="2" borderId="0" xfId="2" applyNumberFormat="1" applyFont="1" applyFill="1" applyBorder="1" applyAlignment="1">
      <alignment vertical="top"/>
    </xf>
    <xf numFmtId="164" fontId="2" fillId="2" borderId="0" xfId="2" applyNumberFormat="1" applyFont="1" applyFill="1" applyBorder="1" applyAlignment="1">
      <alignment horizontal="center"/>
    </xf>
    <xf numFmtId="164" fontId="2" fillId="2" borderId="0" xfId="2" applyNumberFormat="1" applyFont="1" applyFill="1"/>
    <xf numFmtId="0" fontId="2" fillId="2" borderId="0" xfId="2" applyNumberFormat="1" applyFont="1" applyFill="1" applyAlignment="1">
      <alignment horizontal="center"/>
    </xf>
    <xf numFmtId="0" fontId="2" fillId="2" borderId="0" xfId="11" applyNumberFormat="1" applyFont="1" applyFill="1" applyAlignment="1">
      <alignment horizontal="center"/>
    </xf>
    <xf numFmtId="0" fontId="5" fillId="0" borderId="0" xfId="2" applyNumberFormat="1" applyFont="1" applyAlignment="1">
      <alignment horizontal="center"/>
    </xf>
    <xf numFmtId="0" fontId="5" fillId="0" borderId="0" xfId="11" applyNumberFormat="1" applyFont="1" applyAlignment="1">
      <alignment horizontal="center"/>
    </xf>
    <xf numFmtId="164" fontId="2" fillId="0" borderId="0" xfId="8" applyNumberFormat="1" applyFont="1" applyFill="1" applyBorder="1" applyAlignment="1">
      <alignment horizontal="center" vertical="center" wrapText="1"/>
    </xf>
    <xf numFmtId="164" fontId="2" fillId="0" borderId="0" xfId="3" applyNumberFormat="1" applyFont="1" applyFill="1" applyBorder="1" applyAlignment="1">
      <alignment horizontal="left" vertical="center" wrapText="1" indent="2"/>
    </xf>
    <xf numFmtId="164" fontId="2" fillId="0" borderId="2" xfId="2" applyNumberFormat="1" applyFont="1" applyBorder="1" applyAlignment="1"/>
    <xf numFmtId="164" fontId="2" fillId="0" borderId="0" xfId="2" applyNumberFormat="1" applyFont="1"/>
    <xf numFmtId="41" fontId="5" fillId="0" borderId="0" xfId="7" applyNumberFormat="1" applyFont="1" applyFill="1" applyBorder="1" applyAlignment="1">
      <alignment horizontal="left" vertical="top" wrapText="1"/>
    </xf>
    <xf numFmtId="0" fontId="5" fillId="0" borderId="0" xfId="2" applyNumberFormat="1" applyFont="1" applyFill="1" applyAlignment="1">
      <alignment horizontal="center"/>
    </xf>
    <xf numFmtId="0" fontId="5" fillId="0" borderId="0" xfId="11" applyNumberFormat="1" applyFont="1" applyFill="1" applyAlignment="1">
      <alignment horizontal="center"/>
    </xf>
    <xf numFmtId="164" fontId="2" fillId="0" borderId="0" xfId="11" applyNumberFormat="1" applyFont="1" applyFill="1" applyBorder="1" applyAlignment="1">
      <alignment vertical="center"/>
    </xf>
    <xf numFmtId="0" fontId="2" fillId="0" borderId="0" xfId="3" applyNumberFormat="1" applyFont="1" applyFill="1" applyAlignment="1">
      <alignment horizontal="center"/>
    </xf>
    <xf numFmtId="0" fontId="2" fillId="0" borderId="0" xfId="11" applyNumberFormat="1" applyFont="1" applyFill="1" applyAlignment="1">
      <alignment horizontal="center"/>
    </xf>
    <xf numFmtId="41" fontId="2" fillId="0" borderId="0" xfId="7" applyNumberFormat="1" applyFont="1" applyFill="1" applyBorder="1" applyAlignment="1">
      <alignment horizontal="left" vertical="top" wrapText="1"/>
    </xf>
    <xf numFmtId="164" fontId="2" fillId="0" borderId="0" xfId="11" applyNumberFormat="1" applyFont="1" applyFill="1" applyBorder="1" applyAlignment="1">
      <alignment horizontal="left" vertical="top" wrapText="1"/>
    </xf>
    <xf numFmtId="164" fontId="2" fillId="0" borderId="0" xfId="2" applyNumberFormat="1" applyFont="1" applyAlignment="1">
      <alignment horizontal="left" vertical="top"/>
    </xf>
    <xf numFmtId="0" fontId="5" fillId="0" borderId="0" xfId="6" applyNumberFormat="1" applyFont="1" applyFill="1" applyBorder="1" applyAlignment="1">
      <alignment horizontal="left" vertical="top" indent="2"/>
    </xf>
    <xf numFmtId="43" fontId="5" fillId="0" borderId="0" xfId="7" applyFont="1" applyFill="1" applyBorder="1" applyAlignment="1">
      <alignment vertical="top" wrapText="1"/>
    </xf>
    <xf numFmtId="164" fontId="2" fillId="0" borderId="0" xfId="2" applyNumberFormat="1" applyFont="1" applyFill="1" applyAlignment="1">
      <alignment horizontal="left"/>
    </xf>
    <xf numFmtId="0" fontId="5" fillId="0" borderId="0" xfId="7" applyNumberFormat="1" applyFont="1" applyFill="1" applyBorder="1" applyAlignment="1">
      <alignment horizontal="left" wrapText="1" indent="2"/>
    </xf>
    <xf numFmtId="0" fontId="5" fillId="0" borderId="0" xfId="7" applyNumberFormat="1" applyFont="1" applyFill="1" applyBorder="1" applyAlignment="1">
      <alignment wrapText="1"/>
    </xf>
    <xf numFmtId="0" fontId="5" fillId="0" borderId="0" xfId="5" applyNumberFormat="1" applyFont="1" applyFill="1" applyAlignment="1">
      <alignment horizontal="center"/>
    </xf>
    <xf numFmtId="164" fontId="5" fillId="0" borderId="0" xfId="10" applyNumberFormat="1" applyFont="1" applyFill="1" applyBorder="1" applyAlignment="1">
      <alignment vertical="top" wrapText="1"/>
    </xf>
    <xf numFmtId="0" fontId="5" fillId="0" borderId="0" xfId="11" applyNumberFormat="1" applyFont="1" applyFill="1" applyBorder="1" applyAlignment="1">
      <alignment horizontal="center" wrapText="1"/>
    </xf>
    <xf numFmtId="164" fontId="5" fillId="0" borderId="0" xfId="10" applyNumberFormat="1" applyFont="1" applyFill="1" applyBorder="1" applyAlignment="1">
      <alignment horizontal="center" vertical="top" wrapText="1"/>
    </xf>
    <xf numFmtId="164" fontId="2" fillId="0" borderId="0" xfId="2" applyNumberFormat="1" applyFont="1" applyAlignment="1">
      <alignment vertical="top" wrapText="1"/>
    </xf>
    <xf numFmtId="164" fontId="2" fillId="0" borderId="0" xfId="2" applyNumberFormat="1" applyFont="1" applyAlignment="1">
      <alignment horizontal="center" vertical="top"/>
    </xf>
    <xf numFmtId="165" fontId="2" fillId="0" borderId="0" xfId="2" applyNumberFormat="1" applyFont="1" applyAlignment="1">
      <alignment horizontal="center" vertical="top"/>
    </xf>
    <xf numFmtId="164" fontId="2" fillId="0" borderId="4" xfId="11" applyNumberFormat="1" applyFont="1" applyBorder="1" applyAlignment="1">
      <alignment horizontal="center" vertical="top"/>
    </xf>
    <xf numFmtId="164" fontId="2" fillId="0" borderId="4" xfId="2" applyNumberFormat="1" applyFont="1" applyBorder="1" applyAlignment="1">
      <alignment vertical="top"/>
    </xf>
    <xf numFmtId="0" fontId="2" fillId="0" borderId="0" xfId="2" applyNumberFormat="1" applyFont="1" applyAlignment="1">
      <alignment horizontal="center"/>
    </xf>
    <xf numFmtId="0" fontId="2" fillId="0" borderId="0" xfId="11" applyNumberFormat="1" applyFont="1" applyAlignment="1">
      <alignment horizontal="center"/>
    </xf>
    <xf numFmtId="164" fontId="4" fillId="0" borderId="0" xfId="2" applyNumberFormat="1" applyFont="1" applyAlignment="1">
      <alignment vertical="top"/>
    </xf>
    <xf numFmtId="166" fontId="5" fillId="0" borderId="0" xfId="3" applyNumberFormat="1" applyFont="1" applyFill="1" applyBorder="1" applyAlignment="1">
      <alignment horizontal="center" vertical="center" wrapText="1"/>
    </xf>
    <xf numFmtId="41" fontId="2" fillId="0" borderId="0" xfId="3" applyNumberFormat="1" applyFont="1" applyFill="1" applyBorder="1" applyAlignment="1">
      <alignment horizontal="center" vertical="center" wrapText="1"/>
    </xf>
    <xf numFmtId="164" fontId="2" fillId="0" borderId="2" xfId="2" applyNumberFormat="1" applyFont="1" applyFill="1" applyBorder="1" applyAlignment="1">
      <alignment horizontal="center" vertical="center"/>
    </xf>
    <xf numFmtId="41" fontId="5" fillId="0" borderId="0" xfId="3" applyNumberFormat="1" applyFont="1" applyFill="1" applyBorder="1" applyAlignment="1">
      <alignment horizontal="center" vertical="center" wrapText="1"/>
    </xf>
    <xf numFmtId="164" fontId="2" fillId="0" borderId="2" xfId="2" applyNumberFormat="1" applyFont="1" applyFill="1" applyBorder="1"/>
    <xf numFmtId="41" fontId="2" fillId="0" borderId="0" xfId="3" applyNumberFormat="1" applyFont="1" applyFill="1" applyBorder="1" applyAlignment="1">
      <alignment horizontal="center" wrapText="1"/>
    </xf>
    <xf numFmtId="41" fontId="5" fillId="0" borderId="0" xfId="3" applyNumberFormat="1" applyFont="1" applyFill="1" applyBorder="1" applyAlignment="1">
      <alignment horizontal="center" vertical="top" wrapText="1"/>
    </xf>
    <xf numFmtId="164" fontId="2" fillId="0" borderId="2" xfId="2" applyNumberFormat="1" applyFont="1" applyFill="1" applyBorder="1" applyAlignment="1">
      <alignment horizontal="center"/>
    </xf>
    <xf numFmtId="0" fontId="11" fillId="0" borderId="0" xfId="6" applyNumberFormat="1" applyFont="1" applyFill="1" applyBorder="1" applyAlignment="1">
      <alignment wrapText="1"/>
    </xf>
    <xf numFmtId="41" fontId="5" fillId="0" borderId="0" xfId="11" applyNumberFormat="1" applyFont="1" applyFill="1" applyBorder="1" applyAlignment="1">
      <alignment vertical="top"/>
    </xf>
    <xf numFmtId="164" fontId="2" fillId="0" borderId="3" xfId="2" applyNumberFormat="1" applyFont="1" applyFill="1" applyBorder="1" applyAlignment="1">
      <alignment horizontal="center" vertical="top"/>
    </xf>
    <xf numFmtId="41" fontId="5" fillId="0" borderId="0" xfId="11" applyNumberFormat="1" applyFont="1" applyFill="1" applyBorder="1" applyAlignment="1">
      <alignment horizontal="center" vertical="top" wrapText="1"/>
    </xf>
    <xf numFmtId="168" fontId="4" fillId="0" borderId="0" xfId="5" applyNumberFormat="1" applyFont="1" applyFill="1" applyAlignment="1">
      <alignment horizontal="left" vertical="top" indent="4"/>
    </xf>
    <xf numFmtId="164" fontId="4" fillId="0" borderId="0" xfId="7" applyNumberFormat="1" applyFont="1" applyFill="1" applyBorder="1" applyAlignment="1">
      <alignment vertical="top" wrapText="1"/>
    </xf>
    <xf numFmtId="168" fontId="4" fillId="0" borderId="0" xfId="5" applyNumberFormat="1" applyFont="1" applyFill="1" applyAlignment="1">
      <alignment horizontal="left" indent="4"/>
    </xf>
    <xf numFmtId="164" fontId="4" fillId="0" borderId="0" xfId="7" applyNumberFormat="1" applyFont="1" applyFill="1" applyBorder="1" applyAlignment="1">
      <alignment wrapText="1"/>
    </xf>
    <xf numFmtId="0" fontId="4" fillId="0" borderId="0" xfId="6" applyNumberFormat="1" applyFont="1" applyFill="1" applyBorder="1" applyAlignment="1">
      <alignment horizontal="center" wrapText="1"/>
    </xf>
    <xf numFmtId="41" fontId="4" fillId="0" borderId="0" xfId="6" applyNumberFormat="1" applyFont="1" applyFill="1" applyBorder="1" applyAlignment="1">
      <alignment wrapText="1"/>
    </xf>
    <xf numFmtId="41" fontId="9" fillId="0" borderId="0" xfId="6" applyNumberFormat="1" applyFont="1" applyFill="1" applyBorder="1" applyAlignment="1">
      <alignment wrapText="1"/>
    </xf>
    <xf numFmtId="0" fontId="9" fillId="0" borderId="0" xfId="6" applyNumberFormat="1" applyFont="1" applyFill="1" applyBorder="1" applyAlignment="1">
      <alignment vertical="top" wrapText="1"/>
    </xf>
    <xf numFmtId="0" fontId="9" fillId="0" borderId="0" xfId="6" applyNumberFormat="1" applyFont="1" applyFill="1" applyBorder="1" applyAlignment="1">
      <alignment horizontal="center" vertical="top" wrapText="1"/>
    </xf>
    <xf numFmtId="165" fontId="9" fillId="0" borderId="0" xfId="6" applyNumberFormat="1" applyFont="1" applyFill="1" applyBorder="1" applyAlignment="1">
      <alignment horizontal="center" vertical="top" wrapText="1"/>
    </xf>
    <xf numFmtId="41" fontId="9" fillId="0" borderId="0" xfId="6" applyNumberFormat="1" applyFont="1" applyFill="1" applyBorder="1" applyAlignment="1">
      <alignment vertical="top" wrapText="1"/>
    </xf>
    <xf numFmtId="165" fontId="4" fillId="0" borderId="0" xfId="7" applyNumberFormat="1" applyFont="1" applyFill="1" applyBorder="1" applyAlignment="1">
      <alignment horizontal="center" vertical="top" wrapText="1"/>
    </xf>
    <xf numFmtId="164" fontId="4" fillId="0" borderId="0" xfId="0" applyNumberFormat="1" applyFont="1" applyFill="1" applyBorder="1"/>
    <xf numFmtId="164" fontId="4" fillId="0" borderId="0" xfId="0" applyNumberFormat="1" applyFont="1" applyFill="1" applyBorder="1" applyAlignment="1">
      <alignment vertical="top"/>
    </xf>
    <xf numFmtId="41" fontId="4" fillId="0" borderId="0" xfId="6" applyNumberFormat="1" applyFont="1" applyFill="1" applyBorder="1" applyAlignment="1">
      <alignment vertical="top" wrapText="1"/>
    </xf>
    <xf numFmtId="0" fontId="4" fillId="0" borderId="0" xfId="0" applyFont="1" applyFill="1" applyAlignment="1">
      <alignment horizontal="left" vertical="top" wrapText="1"/>
    </xf>
    <xf numFmtId="0" fontId="4" fillId="0" borderId="0" xfId="6" applyNumberFormat="1" applyFont="1" applyFill="1" applyBorder="1" applyAlignment="1">
      <alignment horizontal="left" vertical="top" wrapText="1" indent="4"/>
    </xf>
    <xf numFmtId="0" fontId="4" fillId="0" borderId="0" xfId="7" applyNumberFormat="1" applyFont="1" applyFill="1" applyBorder="1" applyAlignment="1">
      <alignment horizontal="left" vertical="top" wrapText="1" indent="4"/>
    </xf>
    <xf numFmtId="164" fontId="9" fillId="0" borderId="2" xfId="6" applyNumberFormat="1" applyFont="1" applyFill="1" applyBorder="1" applyAlignment="1">
      <alignment vertical="top" wrapText="1"/>
    </xf>
    <xf numFmtId="41" fontId="5" fillId="0" borderId="0" xfId="2" applyNumberFormat="1" applyFont="1" applyFill="1" applyBorder="1" applyAlignment="1">
      <alignment vertical="top"/>
    </xf>
    <xf numFmtId="41" fontId="5" fillId="0" borderId="0" xfId="11" applyNumberFormat="1" applyFont="1" applyFill="1" applyBorder="1" applyAlignment="1">
      <alignment vertical="top" wrapText="1"/>
    </xf>
    <xf numFmtId="164" fontId="4" fillId="0" borderId="0" xfId="11" applyNumberFormat="1" applyFont="1" applyFill="1" applyAlignment="1">
      <alignment vertical="center"/>
    </xf>
    <xf numFmtId="41" fontId="4" fillId="0" borderId="0" xfId="11" applyNumberFormat="1" applyFont="1" applyFill="1" applyAlignment="1">
      <alignment vertical="center"/>
    </xf>
    <xf numFmtId="41" fontId="5" fillId="0" borderId="0" xfId="2" applyNumberFormat="1" applyFont="1" applyFill="1" applyBorder="1" applyAlignment="1">
      <alignment vertical="center"/>
    </xf>
    <xf numFmtId="0" fontId="11" fillId="0" borderId="0" xfId="6" applyNumberFormat="1" applyFont="1" applyFill="1" applyBorder="1" applyAlignment="1">
      <alignment horizontal="left" vertical="top" wrapText="1"/>
    </xf>
    <xf numFmtId="41" fontId="5" fillId="0" borderId="0" xfId="2" applyNumberFormat="1" applyFont="1" applyBorder="1" applyAlignment="1">
      <alignment vertical="top"/>
    </xf>
    <xf numFmtId="0" fontId="2" fillId="0" borderId="0" xfId="7" applyNumberFormat="1" applyFont="1" applyFill="1" applyBorder="1" applyAlignment="1">
      <alignment horizontal="left" wrapText="1"/>
    </xf>
    <xf numFmtId="164" fontId="5" fillId="0" borderId="0" xfId="3" applyNumberFormat="1" applyFont="1" applyFill="1" applyAlignment="1">
      <alignment wrapText="1"/>
    </xf>
    <xf numFmtId="164" fontId="5" fillId="0" borderId="0" xfId="3" applyNumberFormat="1" applyFont="1" applyFill="1" applyAlignment="1">
      <alignment horizontal="center"/>
    </xf>
    <xf numFmtId="165" fontId="5" fillId="0" borderId="0" xfId="4" quotePrefix="1" applyNumberFormat="1" applyFont="1" applyFill="1" applyAlignment="1">
      <alignment horizontal="center"/>
    </xf>
    <xf numFmtId="41" fontId="5" fillId="0" borderId="0" xfId="3" applyNumberFormat="1" applyFont="1" applyFill="1" applyBorder="1" applyAlignment="1"/>
    <xf numFmtId="164" fontId="2" fillId="0" borderId="2" xfId="3" applyNumberFormat="1" applyFont="1" applyFill="1" applyBorder="1" applyAlignment="1" applyProtection="1"/>
    <xf numFmtId="41" fontId="2" fillId="0" borderId="0" xfId="2" applyNumberFormat="1" applyFont="1" applyBorder="1" applyAlignment="1">
      <alignment vertical="top"/>
    </xf>
    <xf numFmtId="41" fontId="5" fillId="0" borderId="0" xfId="2" applyNumberFormat="1" applyFont="1" applyFill="1" applyBorder="1" applyAlignment="1">
      <alignment horizontal="center" vertical="top"/>
    </xf>
    <xf numFmtId="41" fontId="2" fillId="0" borderId="0" xfId="2" applyNumberFormat="1" applyFont="1" applyFill="1" applyAlignment="1">
      <alignment horizontal="center"/>
    </xf>
    <xf numFmtId="41" fontId="2" fillId="0" borderId="0" xfId="2" applyNumberFormat="1" applyFont="1" applyFill="1" applyBorder="1" applyAlignment="1">
      <alignment vertical="center"/>
    </xf>
    <xf numFmtId="0" fontId="5" fillId="0" borderId="0" xfId="0" applyFont="1" applyFill="1" applyBorder="1" applyAlignment="1">
      <alignment horizontal="left" vertical="top" wrapText="1" indent="3"/>
    </xf>
    <xf numFmtId="0" fontId="5" fillId="0" borderId="0" xfId="0" applyFont="1" applyFill="1" applyBorder="1" applyAlignment="1">
      <alignment horizontal="center" vertical="top" wrapText="1"/>
    </xf>
    <xf numFmtId="0" fontId="5" fillId="0" borderId="0" xfId="0" applyFont="1" applyFill="1" applyBorder="1" applyAlignment="1">
      <alignment horizontal="left" wrapText="1" indent="4"/>
    </xf>
    <xf numFmtId="0" fontId="5" fillId="0" borderId="0" xfId="0" applyFont="1" applyFill="1" applyBorder="1" applyAlignment="1">
      <alignment horizontal="center" wrapText="1"/>
    </xf>
    <xf numFmtId="0" fontId="5" fillId="0" borderId="0" xfId="0" applyFont="1" applyFill="1" applyBorder="1" applyAlignment="1">
      <alignment horizontal="left" vertical="top" wrapText="1" indent="4"/>
    </xf>
    <xf numFmtId="165" fontId="5" fillId="0" borderId="0" xfId="0" applyNumberFormat="1" applyFont="1" applyFill="1" applyBorder="1" applyAlignment="1">
      <alignment horizontal="center" vertical="top"/>
    </xf>
    <xf numFmtId="0" fontId="5" fillId="0" borderId="0" xfId="0" applyFont="1" applyFill="1" applyBorder="1" applyAlignment="1">
      <alignment horizontal="left" wrapText="1" indent="3"/>
    </xf>
    <xf numFmtId="0" fontId="5" fillId="0" borderId="0" xfId="13" applyFont="1" applyFill="1" applyBorder="1" applyAlignment="1">
      <alignment horizontal="left" vertical="top" wrapText="1" indent="3"/>
    </xf>
    <xf numFmtId="0" fontId="5" fillId="0" borderId="0" xfId="13" applyFont="1" applyFill="1" applyBorder="1" applyAlignment="1">
      <alignment vertical="top"/>
    </xf>
    <xf numFmtId="0" fontId="5" fillId="0" borderId="0" xfId="13" applyFont="1" applyFill="1" applyBorder="1" applyAlignment="1">
      <alignment horizontal="center" vertical="top" wrapText="1"/>
    </xf>
    <xf numFmtId="165" fontId="5" fillId="0" borderId="0" xfId="13" quotePrefix="1" applyNumberFormat="1" applyFont="1" applyFill="1" applyBorder="1" applyAlignment="1">
      <alignment horizontal="center" vertical="top"/>
    </xf>
    <xf numFmtId="165" fontId="5" fillId="0" borderId="0" xfId="13" applyNumberFormat="1" applyFont="1" applyFill="1" applyBorder="1" applyAlignment="1">
      <alignment horizontal="center" vertical="top"/>
    </xf>
    <xf numFmtId="0" fontId="5" fillId="0" borderId="0" xfId="13" applyFont="1" applyFill="1" applyBorder="1" applyAlignment="1">
      <alignment horizontal="center" vertical="top"/>
    </xf>
    <xf numFmtId="165" fontId="5" fillId="0" borderId="0" xfId="13" quotePrefix="1" applyNumberFormat="1" applyFont="1" applyFill="1" applyBorder="1" applyAlignment="1">
      <alignment horizontal="center"/>
    </xf>
    <xf numFmtId="0" fontId="5" fillId="0" borderId="0" xfId="13" applyFont="1" applyFill="1" applyBorder="1" applyAlignment="1">
      <alignment vertical="top" wrapText="1"/>
    </xf>
    <xf numFmtId="0" fontId="5" fillId="0" borderId="0" xfId="13" applyFont="1" applyFill="1" applyBorder="1" applyAlignment="1">
      <alignment horizontal="left" vertical="top" indent="3"/>
    </xf>
    <xf numFmtId="0" fontId="5" fillId="0" borderId="0" xfId="13" applyFont="1" applyFill="1" applyBorder="1" applyAlignment="1">
      <alignment wrapText="1"/>
    </xf>
    <xf numFmtId="0" fontId="5" fillId="0" borderId="0" xfId="13" applyFont="1" applyFill="1" applyBorder="1" applyAlignment="1">
      <alignment horizontal="left" vertical="top" wrapText="1"/>
    </xf>
    <xf numFmtId="0" fontId="5" fillId="0" borderId="0" xfId="13" applyFont="1" applyFill="1" applyBorder="1" applyAlignment="1">
      <alignment horizontal="left" wrapText="1" indent="3"/>
    </xf>
    <xf numFmtId="164" fontId="5" fillId="0" borderId="2" xfId="3" applyNumberFormat="1" applyFont="1" applyFill="1" applyBorder="1"/>
    <xf numFmtId="167" fontId="5" fillId="0" borderId="0" xfId="0" applyNumberFormat="1" applyFont="1" applyFill="1" applyBorder="1" applyAlignment="1">
      <alignment horizontal="center" vertical="top"/>
    </xf>
    <xf numFmtId="41" fontId="2" fillId="0" borderId="0" xfId="11" applyNumberFormat="1" applyFont="1" applyFill="1" applyBorder="1" applyAlignment="1">
      <alignment vertical="top"/>
    </xf>
    <xf numFmtId="0" fontId="5" fillId="0" borderId="0" xfId="7" applyNumberFormat="1" applyFont="1" applyFill="1" applyBorder="1" applyAlignment="1">
      <alignment horizontal="left" vertical="top" wrapText="1" indent="4"/>
    </xf>
    <xf numFmtId="41" fontId="2" fillId="0" borderId="0" xfId="11" applyNumberFormat="1" applyFont="1" applyFill="1" applyBorder="1" applyAlignment="1">
      <alignment vertical="top" wrapText="1"/>
    </xf>
    <xf numFmtId="167" fontId="5" fillId="0" borderId="2" xfId="6" applyNumberFormat="1" applyFont="1" applyFill="1" applyBorder="1" applyAlignment="1">
      <alignment horizontal="center" vertical="top" wrapText="1"/>
    </xf>
    <xf numFmtId="165" fontId="4" fillId="0" borderId="0" xfId="0" applyNumberFormat="1" applyFont="1" applyFill="1" applyAlignment="1">
      <alignment vertical="top"/>
    </xf>
    <xf numFmtId="41" fontId="9" fillId="0" borderId="0" xfId="11" applyNumberFormat="1" applyFont="1" applyFill="1" applyBorder="1" applyAlignment="1">
      <alignment vertical="top"/>
    </xf>
    <xf numFmtId="0" fontId="4" fillId="0" borderId="2" xfId="0" applyFont="1" applyFill="1" applyBorder="1" applyAlignment="1">
      <alignment vertical="top"/>
    </xf>
    <xf numFmtId="41" fontId="9" fillId="0" borderId="2" xfId="0" applyNumberFormat="1" applyFont="1" applyFill="1" applyBorder="1" applyAlignment="1">
      <alignment vertical="top"/>
    </xf>
    <xf numFmtId="41" fontId="9" fillId="0" borderId="0" xfId="0" applyNumberFormat="1" applyFont="1" applyFill="1" applyBorder="1" applyAlignment="1">
      <alignment vertical="top"/>
    </xf>
    <xf numFmtId="37" fontId="5" fillId="0" borderId="0" xfId="11" applyNumberFormat="1" applyFont="1" applyFill="1" applyBorder="1" applyAlignment="1">
      <alignment horizontal="center" vertical="top" wrapText="1"/>
    </xf>
    <xf numFmtId="165" fontId="2" fillId="2" borderId="0" xfId="0" applyNumberFormat="1" applyFont="1" applyFill="1"/>
    <xf numFmtId="165" fontId="5" fillId="0" borderId="0" xfId="0" applyNumberFormat="1" applyFont="1" applyFill="1" applyAlignment="1"/>
    <xf numFmtId="165" fontId="5" fillId="0" borderId="0" xfId="0" applyNumberFormat="1" applyFont="1" applyFill="1" applyAlignment="1">
      <alignment horizontal="center" vertical="top"/>
    </xf>
    <xf numFmtId="165" fontId="4" fillId="0" borderId="0" xfId="0" applyNumberFormat="1" applyFont="1"/>
    <xf numFmtId="165" fontId="5" fillId="0" borderId="0" xfId="2" applyNumberFormat="1" applyFont="1"/>
    <xf numFmtId="165" fontId="2" fillId="0" borderId="0" xfId="3" applyNumberFormat="1" applyFont="1" applyFill="1" applyBorder="1" applyAlignment="1">
      <alignment horizontal="center" vertical="center" wrapText="1"/>
    </xf>
    <xf numFmtId="165" fontId="5" fillId="0" borderId="0" xfId="7" applyNumberFormat="1" applyFont="1" applyFill="1" applyAlignment="1">
      <alignment horizontal="center" vertical="top" wrapText="1"/>
    </xf>
    <xf numFmtId="165" fontId="5" fillId="0" borderId="0" xfId="7" applyNumberFormat="1" applyFont="1" applyFill="1" applyBorder="1" applyAlignment="1">
      <alignment horizontal="center" wrapText="1"/>
    </xf>
    <xf numFmtId="165" fontId="4" fillId="0" borderId="0" xfId="7" applyNumberFormat="1" applyFont="1" applyFill="1" applyBorder="1" applyAlignment="1">
      <alignment horizontal="center" wrapText="1"/>
    </xf>
    <xf numFmtId="165" fontId="5" fillId="0" borderId="0" xfId="2" applyNumberFormat="1" applyFont="1" applyAlignment="1"/>
    <xf numFmtId="165" fontId="5" fillId="0" borderId="0" xfId="13" applyNumberFormat="1" applyFont="1" applyFill="1" applyBorder="1" applyAlignment="1">
      <alignment horizontal="center"/>
    </xf>
    <xf numFmtId="164" fontId="5" fillId="5" borderId="0" xfId="3" applyNumberFormat="1" applyFont="1" applyFill="1" applyBorder="1" applyAlignment="1">
      <alignment vertical="top"/>
    </xf>
    <xf numFmtId="0" fontId="5" fillId="0" borderId="0" xfId="14" applyFont="1" applyFill="1" applyAlignment="1">
      <alignment horizontal="left" vertical="top" wrapText="1"/>
    </xf>
    <xf numFmtId="165" fontId="5" fillId="0" borderId="0" xfId="2" quotePrefix="1" applyNumberFormat="1" applyFont="1" applyFill="1" applyAlignment="1">
      <alignment vertical="top"/>
    </xf>
    <xf numFmtId="164" fontId="4" fillId="0" borderId="0" xfId="11" applyNumberFormat="1" applyFont="1" applyFill="1" applyAlignment="1">
      <alignment vertical="top"/>
    </xf>
    <xf numFmtId="168" fontId="4" fillId="0" borderId="0" xfId="5" applyNumberFormat="1" applyFont="1" applyFill="1" applyAlignment="1">
      <alignment horizontal="left" vertical="top" wrapText="1"/>
    </xf>
    <xf numFmtId="16" fontId="4" fillId="0" borderId="0" xfId="5" applyNumberFormat="1" applyFont="1" applyFill="1" applyAlignment="1">
      <alignment horizontal="center" vertical="top"/>
    </xf>
    <xf numFmtId="164" fontId="4" fillId="0" borderId="0" xfId="2" applyNumberFormat="1" applyFont="1" applyFill="1" applyBorder="1" applyAlignment="1">
      <alignment vertical="top"/>
    </xf>
    <xf numFmtId="0" fontId="4" fillId="0" borderId="0" xfId="5" applyFont="1" applyFill="1" applyAlignment="1">
      <alignment horizontal="center" vertical="top"/>
    </xf>
    <xf numFmtId="0" fontId="5" fillId="0" borderId="0" xfId="14" applyFont="1" applyFill="1" applyBorder="1" applyAlignment="1">
      <alignment horizontal="left" vertical="top" wrapText="1"/>
    </xf>
    <xf numFmtId="164" fontId="2" fillId="0" borderId="0" xfId="2" applyNumberFormat="1" applyFont="1" applyFill="1" applyAlignment="1"/>
    <xf numFmtId="0" fontId="2" fillId="0" borderId="0" xfId="7" applyNumberFormat="1" applyFont="1" applyFill="1" applyBorder="1" applyAlignment="1">
      <alignment wrapText="1"/>
    </xf>
    <xf numFmtId="165" fontId="5" fillId="0" borderId="0" xfId="2" applyNumberFormat="1" applyFont="1" applyFill="1" applyAlignment="1">
      <alignment horizontal="center"/>
    </xf>
    <xf numFmtId="164" fontId="2" fillId="0" borderId="2" xfId="11" applyNumberFormat="1" applyFont="1" applyFill="1" applyBorder="1" applyAlignment="1"/>
    <xf numFmtId="0" fontId="4" fillId="0" borderId="0" xfId="6" applyNumberFormat="1" applyFont="1" applyFill="1" applyBorder="1" applyAlignment="1">
      <alignment horizontal="left" vertical="top" indent="1"/>
    </xf>
    <xf numFmtId="164" fontId="2" fillId="0" borderId="1" xfId="11" applyNumberFormat="1" applyFont="1" applyFill="1" applyBorder="1" applyAlignment="1">
      <alignment horizontal="center" vertical="center"/>
    </xf>
    <xf numFmtId="164" fontId="2" fillId="0" borderId="8" xfId="3" applyNumberFormat="1" applyFont="1" applyFill="1" applyBorder="1" applyAlignment="1">
      <alignment vertical="center" wrapText="1"/>
    </xf>
    <xf numFmtId="41" fontId="15" fillId="0" borderId="0" xfId="7" applyNumberFormat="1" applyFont="1" applyFill="1" applyBorder="1" applyAlignment="1">
      <alignment wrapText="1"/>
    </xf>
    <xf numFmtId="41" fontId="16" fillId="0" borderId="0" xfId="7" applyNumberFormat="1" applyFont="1" applyFill="1" applyAlignment="1">
      <alignment horizontal="center" wrapText="1"/>
    </xf>
    <xf numFmtId="0" fontId="15" fillId="0" borderId="0" xfId="7" applyNumberFormat="1" applyFont="1" applyFill="1" applyBorder="1" applyAlignment="1">
      <alignment wrapText="1"/>
    </xf>
    <xf numFmtId="0" fontId="2" fillId="6" borderId="0" xfId="0" applyFont="1" applyFill="1" applyBorder="1"/>
    <xf numFmtId="164" fontId="17" fillId="0" borderId="0" xfId="11" applyNumberFormat="1" applyFont="1" applyFill="1" applyBorder="1" applyAlignment="1">
      <alignment horizontal="right"/>
    </xf>
    <xf numFmtId="0" fontId="15" fillId="0" borderId="0" xfId="0" applyFont="1" applyFill="1" applyBorder="1"/>
    <xf numFmtId="164" fontId="2" fillId="0" borderId="2" xfId="3" applyNumberFormat="1" applyFont="1" applyFill="1" applyBorder="1" applyAlignment="1">
      <alignment horizontal="center" vertical="center"/>
    </xf>
    <xf numFmtId="164" fontId="5" fillId="0" borderId="0" xfId="3" applyNumberFormat="1" applyFont="1" applyFill="1" applyBorder="1" applyAlignment="1">
      <alignment horizontal="left" vertical="top" wrapText="1" indent="2"/>
    </xf>
    <xf numFmtId="165" fontId="2" fillId="0" borderId="0" xfId="3" applyNumberFormat="1" applyFont="1" applyFill="1" applyBorder="1" applyAlignment="1">
      <alignment horizontal="center" vertical="top"/>
    </xf>
    <xf numFmtId="0" fontId="2" fillId="0" borderId="0" xfId="0" applyFont="1" applyFill="1" applyBorder="1" applyAlignment="1">
      <alignment horizontal="left" vertical="center"/>
    </xf>
    <xf numFmtId="166" fontId="5" fillId="0" borderId="0" xfId="3" applyNumberFormat="1" applyFont="1" applyFill="1" applyAlignment="1">
      <alignment horizontal="center" vertical="top"/>
    </xf>
    <xf numFmtId="0" fontId="4" fillId="0" borderId="0" xfId="0" applyFont="1" applyFill="1" applyBorder="1"/>
    <xf numFmtId="164" fontId="9" fillId="0" borderId="0" xfId="0" applyNumberFormat="1" applyFont="1" applyFill="1" applyBorder="1"/>
    <xf numFmtId="164" fontId="9" fillId="0" borderId="0" xfId="10" applyNumberFormat="1" applyFont="1" applyFill="1" applyBorder="1"/>
    <xf numFmtId="165" fontId="4" fillId="0" borderId="0" xfId="0" applyNumberFormat="1" applyFont="1" applyFill="1"/>
    <xf numFmtId="164" fontId="9" fillId="0" borderId="0" xfId="10" applyNumberFormat="1" applyFont="1" applyFill="1" applyBorder="1" applyAlignment="1"/>
    <xf numFmtId="164" fontId="9" fillId="0" borderId="0" xfId="10" applyNumberFormat="1" applyFont="1" applyFill="1"/>
    <xf numFmtId="164" fontId="9" fillId="0" borderId="0" xfId="0" applyNumberFormat="1" applyFont="1" applyFill="1" applyBorder="1" applyAlignment="1">
      <alignment vertical="top"/>
    </xf>
    <xf numFmtId="164" fontId="4" fillId="0" borderId="0" xfId="10" applyNumberFormat="1" applyFont="1" applyFill="1" applyBorder="1"/>
    <xf numFmtId="164" fontId="4" fillId="0" borderId="0" xfId="10" applyNumberFormat="1" applyFont="1" applyFill="1" applyAlignment="1">
      <alignment vertical="top"/>
    </xf>
    <xf numFmtId="164" fontId="2" fillId="0" borderId="0" xfId="11" applyNumberFormat="1" applyFont="1" applyFill="1" applyAlignment="1"/>
    <xf numFmtId="164" fontId="4" fillId="0" borderId="0" xfId="10" applyNumberFormat="1" applyFont="1" applyFill="1"/>
    <xf numFmtId="0" fontId="9" fillId="0" borderId="0" xfId="0" applyFont="1" applyFill="1" applyBorder="1" applyAlignment="1">
      <alignment vertical="top"/>
    </xf>
    <xf numFmtId="0" fontId="9" fillId="0" borderId="0" xfId="0" applyFont="1" applyFill="1" applyAlignment="1">
      <alignment horizontal="center" vertical="top"/>
    </xf>
    <xf numFmtId="0" fontId="2" fillId="0" borderId="0" xfId="0" applyFont="1" applyAlignment="1">
      <alignment horizontal="left" vertical="top"/>
    </xf>
    <xf numFmtId="0" fontId="2" fillId="0" borderId="0" xfId="0" applyFont="1" applyAlignment="1">
      <alignment vertical="top"/>
    </xf>
    <xf numFmtId="164" fontId="2" fillId="0" borderId="0" xfId="0" applyNumberFormat="1" applyFont="1" applyFill="1" applyBorder="1" applyAlignment="1">
      <alignment vertical="top"/>
    </xf>
    <xf numFmtId="164" fontId="2" fillId="0" borderId="4" xfId="0" applyNumberFormat="1" applyFont="1" applyFill="1" applyBorder="1" applyAlignment="1">
      <alignment vertical="top"/>
    </xf>
    <xf numFmtId="165" fontId="2" fillId="0" borderId="0" xfId="0" applyNumberFormat="1" applyFont="1" applyAlignment="1">
      <alignment vertical="top"/>
    </xf>
    <xf numFmtId="164" fontId="2" fillId="0" borderId="0" xfId="0" applyNumberFormat="1" applyFont="1" applyFill="1" applyBorder="1" applyAlignment="1">
      <alignment horizontal="center" vertical="top"/>
    </xf>
    <xf numFmtId="164" fontId="2" fillId="0" borderId="0" xfId="0" applyNumberFormat="1" applyFont="1" applyFill="1" applyBorder="1" applyAlignment="1">
      <alignment horizontal="left" vertical="top"/>
    </xf>
    <xf numFmtId="0" fontId="2" fillId="0" borderId="0" xfId="0" applyFont="1" applyAlignment="1">
      <alignment horizontal="center" vertical="top"/>
    </xf>
    <xf numFmtId="164" fontId="2" fillId="0" borderId="4" xfId="3" applyNumberFormat="1" applyFont="1" applyFill="1" applyBorder="1" applyAlignment="1">
      <alignment vertical="top"/>
    </xf>
    <xf numFmtId="41" fontId="2" fillId="0" borderId="0" xfId="3" applyNumberFormat="1" applyFont="1" applyFill="1" applyBorder="1" applyAlignment="1">
      <alignment horizontal="center" vertical="top"/>
    </xf>
    <xf numFmtId="0" fontId="4" fillId="0" borderId="0" xfId="0" applyFont="1" applyFill="1" applyAlignment="1">
      <alignment horizontal="left"/>
    </xf>
    <xf numFmtId="0" fontId="2" fillId="0" borderId="0" xfId="0" applyFont="1" applyFill="1" applyAlignment="1"/>
    <xf numFmtId="0" fontId="5" fillId="0" borderId="0" xfId="0" applyFont="1" applyFill="1" applyBorder="1" applyAlignment="1"/>
    <xf numFmtId="0" fontId="15" fillId="0" borderId="0" xfId="0" applyFont="1" applyFill="1" applyBorder="1" applyAlignment="1"/>
    <xf numFmtId="0" fontId="9" fillId="0" borderId="0" xfId="0" applyFont="1" applyFill="1" applyAlignment="1"/>
    <xf numFmtId="0" fontId="5" fillId="0" borderId="0" xfId="2" quotePrefix="1" applyNumberFormat="1" applyFont="1" applyFill="1" applyAlignment="1">
      <alignment horizontal="right" vertical="top"/>
    </xf>
    <xf numFmtId="164" fontId="5" fillId="0" borderId="0" xfId="2" applyNumberFormat="1" applyFont="1" applyFill="1" applyAlignment="1">
      <alignment horizontal="right"/>
    </xf>
    <xf numFmtId="0" fontId="5" fillId="0" borderId="0" xfId="0" applyFont="1" applyFill="1" applyAlignment="1">
      <alignment horizontal="right"/>
    </xf>
    <xf numFmtId="0" fontId="4" fillId="0" borderId="0" xfId="0" applyFont="1" applyFill="1" applyAlignment="1">
      <alignment horizontal="right"/>
    </xf>
    <xf numFmtId="0" fontId="2" fillId="0" borderId="0" xfId="0" applyFont="1" applyFill="1" applyBorder="1" applyAlignment="1"/>
    <xf numFmtId="0" fontId="2" fillId="0" borderId="0" xfId="0" applyFont="1" applyFill="1" applyBorder="1" applyAlignment="1">
      <alignment horizontal="center" wrapText="1"/>
    </xf>
    <xf numFmtId="0" fontId="12" fillId="0" borderId="0" xfId="13" applyFont="1" applyFill="1" applyBorder="1" applyAlignment="1">
      <alignment horizontal="center"/>
    </xf>
    <xf numFmtId="41" fontId="11" fillId="0" borderId="0" xfId="7" applyNumberFormat="1" applyFont="1" applyFill="1" applyBorder="1" applyAlignment="1">
      <alignment horizontal="center" vertical="top" wrapText="1"/>
    </xf>
    <xf numFmtId="41" fontId="4" fillId="0" borderId="0" xfId="7" applyNumberFormat="1" applyFont="1" applyFill="1" applyBorder="1" applyAlignment="1">
      <alignment horizontal="center" vertical="top" wrapText="1"/>
    </xf>
    <xf numFmtId="164" fontId="2" fillId="0" borderId="2" xfId="6" applyNumberFormat="1" applyFont="1" applyFill="1" applyBorder="1" applyAlignment="1">
      <alignment wrapText="1"/>
    </xf>
    <xf numFmtId="0" fontId="4" fillId="0" borderId="0" xfId="0" quotePrefix="1" applyFont="1" applyAlignment="1">
      <alignment horizontal="right" vertical="top"/>
    </xf>
    <xf numFmtId="0" fontId="2" fillId="0" borderId="0" xfId="0" applyFont="1" applyBorder="1" applyAlignment="1">
      <alignment horizontal="left" vertical="top"/>
    </xf>
    <xf numFmtId="164" fontId="5" fillId="0" borderId="0" xfId="2" quotePrefix="1" applyNumberFormat="1" applyFont="1" applyFill="1"/>
    <xf numFmtId="164" fontId="5" fillId="0" borderId="0" xfId="2" quotePrefix="1" applyNumberFormat="1" applyFont="1" applyFill="1" applyAlignment="1">
      <alignment horizontal="right" vertical="top"/>
    </xf>
    <xf numFmtId="0" fontId="5" fillId="0" borderId="0" xfId="7" quotePrefix="1" applyNumberFormat="1" applyFont="1" applyFill="1" applyAlignment="1">
      <alignment horizontal="right" vertical="top" wrapText="1"/>
    </xf>
    <xf numFmtId="164" fontId="5" fillId="0" borderId="0" xfId="3" quotePrefix="1" applyNumberFormat="1" applyFont="1" applyFill="1" applyAlignment="1">
      <alignment horizontal="right" vertical="top"/>
    </xf>
    <xf numFmtId="0" fontId="4" fillId="0" borderId="0" xfId="0" quotePrefix="1" applyFont="1" applyFill="1" applyBorder="1" applyAlignment="1">
      <alignment horizontal="right" vertical="top"/>
    </xf>
    <xf numFmtId="164" fontId="2" fillId="0" borderId="0" xfId="3" applyNumberFormat="1" applyFont="1" applyFill="1" applyBorder="1" applyAlignment="1">
      <alignment vertical="top" wrapText="1"/>
    </xf>
    <xf numFmtId="164" fontId="5" fillId="0" borderId="0" xfId="2" quotePrefix="1" applyNumberFormat="1" applyFont="1" applyAlignment="1">
      <alignment horizontal="right" vertical="top"/>
    </xf>
    <xf numFmtId="164" fontId="2" fillId="0" borderId="0" xfId="2" applyNumberFormat="1" applyFont="1" applyBorder="1" applyAlignment="1"/>
    <xf numFmtId="164" fontId="2" fillId="0" borderId="3" xfId="2" applyNumberFormat="1" applyFont="1" applyBorder="1" applyAlignment="1"/>
    <xf numFmtId="164" fontId="2" fillId="0" borderId="0" xfId="3" applyNumberFormat="1" applyFont="1" applyAlignment="1">
      <alignment horizontal="left" vertical="top"/>
    </xf>
    <xf numFmtId="164" fontId="5" fillId="0" borderId="0" xfId="2" quotePrefix="1" applyNumberFormat="1" applyFont="1" applyFill="1" applyAlignment="1">
      <alignment vertical="top"/>
    </xf>
    <xf numFmtId="164" fontId="5" fillId="0" borderId="0" xfId="2" quotePrefix="1" applyNumberFormat="1" applyFont="1" applyFill="1" applyAlignment="1">
      <alignment horizontal="left" vertical="top"/>
    </xf>
    <xf numFmtId="164" fontId="5" fillId="0" borderId="0" xfId="8" applyNumberFormat="1" applyFont="1" applyFill="1" applyAlignment="1">
      <alignment vertical="top"/>
    </xf>
    <xf numFmtId="164" fontId="5" fillId="0" borderId="0" xfId="11" applyNumberFormat="1" applyFont="1" applyFill="1" applyBorder="1" applyAlignment="1">
      <alignment horizontal="center" vertical="top"/>
    </xf>
    <xf numFmtId="164" fontId="2" fillId="0" borderId="0" xfId="2" applyNumberFormat="1" applyFont="1" applyFill="1" applyAlignment="1">
      <alignment horizontal="center" vertical="top" wrapText="1"/>
    </xf>
    <xf numFmtId="0" fontId="4" fillId="0" borderId="0" xfId="0" applyFont="1" applyFill="1" applyAlignment="1">
      <alignment horizontal="center" vertical="top" wrapText="1"/>
    </xf>
    <xf numFmtId="0" fontId="9" fillId="0" borderId="0" xfId="0" applyFont="1" applyFill="1" applyAlignment="1">
      <alignment horizontal="center" vertical="top" wrapText="1"/>
    </xf>
    <xf numFmtId="0" fontId="5" fillId="0" borderId="0" xfId="4" applyFont="1" applyFill="1" applyAlignment="1">
      <alignment horizontal="center"/>
    </xf>
    <xf numFmtId="0" fontId="15" fillId="0" borderId="0" xfId="0" applyFont="1" applyFill="1" applyBorder="1" applyAlignment="1">
      <alignment horizontal="center"/>
    </xf>
    <xf numFmtId="0" fontId="2" fillId="0" borderId="0" xfId="0" applyFont="1" applyFill="1" applyBorder="1" applyAlignment="1">
      <alignment horizontal="center"/>
    </xf>
    <xf numFmtId="164" fontId="5" fillId="0" borderId="0" xfId="2" applyNumberFormat="1" applyFont="1" applyFill="1" applyBorder="1" applyAlignment="1">
      <alignment horizontal="center"/>
    </xf>
    <xf numFmtId="164" fontId="5" fillId="7" borderId="0" xfId="3" applyNumberFormat="1" applyFont="1" applyFill="1" applyAlignment="1">
      <alignment horizontal="center" vertical="top"/>
    </xf>
    <xf numFmtId="164" fontId="5" fillId="2" borderId="0" xfId="3" applyNumberFormat="1" applyFont="1" applyFill="1" applyAlignment="1">
      <alignment horizontal="center" vertical="top"/>
    </xf>
    <xf numFmtId="164" fontId="5" fillId="2" borderId="0" xfId="3" applyNumberFormat="1" applyFont="1" applyFill="1" applyBorder="1" applyAlignment="1">
      <alignment horizontal="center" vertical="top"/>
    </xf>
    <xf numFmtId="0" fontId="5" fillId="0" borderId="0" xfId="5" applyFont="1" applyFill="1" applyAlignment="1">
      <alignment horizontal="center" vertical="top" wrapText="1"/>
    </xf>
    <xf numFmtId="164" fontId="5" fillId="0" borderId="0" xfId="3" applyNumberFormat="1" applyFont="1" applyFill="1" applyAlignment="1">
      <alignment horizontal="center" vertical="top" wrapText="1"/>
    </xf>
    <xf numFmtId="0" fontId="5" fillId="0" borderId="0" xfId="4" applyFont="1" applyFill="1" applyAlignment="1">
      <alignment horizontal="center" vertical="top" wrapText="1"/>
    </xf>
    <xf numFmtId="0" fontId="4" fillId="0" borderId="0" xfId="14" applyFont="1" applyFill="1" applyAlignment="1">
      <alignment horizontal="center" vertical="top"/>
    </xf>
    <xf numFmtId="0" fontId="4" fillId="0" borderId="0" xfId="14" applyFont="1" applyFill="1" applyAlignment="1">
      <alignment horizontal="center" vertical="top" wrapText="1"/>
    </xf>
    <xf numFmtId="0" fontId="4" fillId="0" borderId="0" xfId="0" applyFont="1" applyBorder="1" applyAlignment="1">
      <alignment horizontal="center" vertical="top"/>
    </xf>
    <xf numFmtId="0" fontId="5" fillId="0" borderId="0" xfId="7" applyNumberFormat="1" applyFont="1" applyFill="1" applyBorder="1" applyAlignment="1">
      <alignment horizontal="center" vertical="top"/>
    </xf>
    <xf numFmtId="168" fontId="4" fillId="0" borderId="0" xfId="5" applyNumberFormat="1" applyFont="1" applyFill="1" applyAlignment="1">
      <alignment horizontal="center" vertical="top"/>
    </xf>
    <xf numFmtId="168" fontId="4" fillId="0" borderId="0" xfId="5" applyNumberFormat="1" applyFont="1" applyFill="1" applyAlignment="1">
      <alignment horizontal="center" vertical="top" wrapText="1"/>
    </xf>
    <xf numFmtId="0" fontId="4" fillId="0" borderId="0" xfId="6" applyNumberFormat="1" applyFont="1" applyFill="1" applyBorder="1" applyAlignment="1">
      <alignment horizontal="center" vertical="top"/>
    </xf>
    <xf numFmtId="0" fontId="4" fillId="0" borderId="0" xfId="0" applyFont="1" applyFill="1" applyBorder="1" applyAlignment="1">
      <alignment horizontal="center" vertical="top" wrapText="1"/>
    </xf>
    <xf numFmtId="0" fontId="5" fillId="0" borderId="0" xfId="5" applyFont="1" applyFill="1" applyAlignment="1">
      <alignment wrapText="1"/>
    </xf>
    <xf numFmtId="164" fontId="5" fillId="8" borderId="0" xfId="3" applyNumberFormat="1" applyFont="1" applyFill="1" applyBorder="1"/>
    <xf numFmtId="0" fontId="5" fillId="0" borderId="0" xfId="14" applyFont="1" applyFill="1" applyAlignment="1">
      <alignment wrapText="1"/>
    </xf>
    <xf numFmtId="164" fontId="5" fillId="9" borderId="0" xfId="3" applyNumberFormat="1" applyFont="1" applyFill="1" applyBorder="1"/>
    <xf numFmtId="41" fontId="5" fillId="8" borderId="0" xfId="3" applyNumberFormat="1" applyFont="1" applyFill="1" applyBorder="1" applyAlignment="1">
      <alignment vertical="top"/>
    </xf>
    <xf numFmtId="164" fontId="5" fillId="8" borderId="0" xfId="3" applyNumberFormat="1" applyFont="1" applyFill="1" applyBorder="1" applyAlignment="1">
      <alignment vertical="top"/>
    </xf>
    <xf numFmtId="164" fontId="5" fillId="0" borderId="0" xfId="5" applyNumberFormat="1" applyFont="1" applyFill="1" applyAlignment="1">
      <alignment horizontal="center" vertical="top" wrapText="1"/>
    </xf>
    <xf numFmtId="164" fontId="5" fillId="0" borderId="0" xfId="4" applyNumberFormat="1" applyFont="1" applyFill="1" applyAlignment="1">
      <alignment horizontal="center" vertical="top" wrapText="1"/>
    </xf>
    <xf numFmtId="164" fontId="18" fillId="8" borderId="0" xfId="11" applyNumberFormat="1" applyFont="1" applyFill="1" applyBorder="1"/>
    <xf numFmtId="168" fontId="4" fillId="0" borderId="0" xfId="14" applyNumberFormat="1" applyFont="1" applyFill="1" applyAlignment="1">
      <alignment vertical="top" wrapText="1"/>
    </xf>
    <xf numFmtId="168" fontId="4" fillId="0" borderId="0" xfId="7" applyNumberFormat="1" applyFont="1" applyFill="1" applyBorder="1" applyAlignment="1">
      <alignment horizontal="center" vertical="top"/>
    </xf>
    <xf numFmtId="168" fontId="4" fillId="0" borderId="0" xfId="7" applyNumberFormat="1" applyFont="1" applyFill="1" applyBorder="1" applyAlignment="1">
      <alignment vertical="top" wrapText="1"/>
    </xf>
    <xf numFmtId="0" fontId="4" fillId="0" borderId="0" xfId="7" applyNumberFormat="1" applyFont="1" applyFill="1" applyBorder="1" applyAlignment="1">
      <alignment vertical="top" wrapText="1"/>
    </xf>
    <xf numFmtId="168" fontId="4" fillId="0" borderId="0" xfId="6" applyNumberFormat="1" applyFont="1" applyFill="1" applyBorder="1" applyAlignment="1">
      <alignment horizontal="center" vertical="top"/>
    </xf>
    <xf numFmtId="168" fontId="4" fillId="0" borderId="0" xfId="7" applyNumberFormat="1" applyFont="1" applyFill="1" applyBorder="1" applyAlignment="1">
      <alignment horizontal="left" vertical="top" wrapText="1" indent="1"/>
    </xf>
    <xf numFmtId="164" fontId="12" fillId="8" borderId="0" xfId="11" applyNumberFormat="1" applyFont="1" applyFill="1" applyBorder="1" applyAlignment="1">
      <alignment horizontal="left" indent="3"/>
    </xf>
    <xf numFmtId="164" fontId="18" fillId="8" borderId="0" xfId="11" applyNumberFormat="1" applyFont="1" applyFill="1" applyBorder="1" applyAlignment="1">
      <alignment horizontal="left" indent="3"/>
    </xf>
    <xf numFmtId="164" fontId="2" fillId="8" borderId="0" xfId="11" applyNumberFormat="1" applyFont="1" applyFill="1" applyBorder="1"/>
    <xf numFmtId="41" fontId="5" fillId="8" borderId="0" xfId="11" applyNumberFormat="1" applyFont="1" applyFill="1" applyBorder="1" applyAlignment="1">
      <alignment vertical="top"/>
    </xf>
    <xf numFmtId="164" fontId="5" fillId="8" borderId="0" xfId="11" applyNumberFormat="1" applyFont="1" applyFill="1" applyBorder="1" applyAlignment="1">
      <alignment vertical="top"/>
    </xf>
    <xf numFmtId="164" fontId="2" fillId="0" borderId="0" xfId="2" applyNumberFormat="1" applyFont="1" applyFill="1" applyBorder="1" applyAlignment="1">
      <alignment horizontal="center"/>
    </xf>
    <xf numFmtId="164" fontId="2" fillId="0" borderId="0" xfId="10" applyNumberFormat="1" applyFont="1" applyFill="1" applyAlignment="1">
      <alignment horizontal="center" vertical="top"/>
    </xf>
    <xf numFmtId="164" fontId="2" fillId="0" borderId="0" xfId="6" applyNumberFormat="1" applyFont="1" applyFill="1" applyBorder="1" applyAlignment="1">
      <alignment horizontal="center" vertical="top" wrapText="1"/>
    </xf>
    <xf numFmtId="164" fontId="2" fillId="0" borderId="0" xfId="7" applyNumberFormat="1" applyFont="1" applyFill="1" applyBorder="1" applyAlignment="1">
      <alignment horizontal="center" vertical="top" wrapText="1"/>
    </xf>
    <xf numFmtId="164" fontId="5" fillId="0" borderId="0" xfId="6" applyNumberFormat="1" applyFont="1" applyFill="1" applyBorder="1" applyAlignment="1">
      <alignment horizontal="center" wrapText="1"/>
    </xf>
    <xf numFmtId="164" fontId="5" fillId="0" borderId="0" xfId="3" applyNumberFormat="1" applyFont="1" applyFill="1" applyBorder="1" applyAlignment="1">
      <alignment horizontal="center"/>
    </xf>
    <xf numFmtId="164" fontId="9" fillId="0" borderId="0" xfId="0" applyNumberFormat="1" applyFont="1" applyFill="1" applyAlignment="1">
      <alignment horizontal="center" vertical="top"/>
    </xf>
    <xf numFmtId="0" fontId="4" fillId="0" borderId="0" xfId="0" applyFont="1" applyFill="1" applyBorder="1" applyAlignment="1">
      <alignment horizontal="center"/>
    </xf>
    <xf numFmtId="164" fontId="9" fillId="0" borderId="0" xfId="0" applyNumberFormat="1" applyFont="1" applyFill="1" applyBorder="1" applyAlignment="1">
      <alignment horizontal="center"/>
    </xf>
    <xf numFmtId="164" fontId="4" fillId="0" borderId="0" xfId="11" applyNumberFormat="1" applyFont="1" applyFill="1" applyBorder="1" applyAlignment="1">
      <alignment horizontal="center"/>
    </xf>
    <xf numFmtId="164" fontId="9" fillId="0" borderId="0" xfId="0" applyNumberFormat="1" applyFont="1" applyFill="1" applyBorder="1" applyAlignment="1">
      <alignment horizontal="center" vertical="top"/>
    </xf>
    <xf numFmtId="41" fontId="9" fillId="0" borderId="0" xfId="0" applyNumberFormat="1" applyFont="1" applyFill="1" applyBorder="1" applyAlignment="1">
      <alignment horizontal="center" vertical="top"/>
    </xf>
    <xf numFmtId="164" fontId="4" fillId="0" borderId="0" xfId="0" applyNumberFormat="1" applyFont="1" applyFill="1" applyBorder="1" applyAlignment="1">
      <alignment horizontal="center"/>
    </xf>
    <xf numFmtId="164" fontId="4" fillId="0" borderId="0" xfId="10" applyNumberFormat="1" applyFont="1" applyFill="1" applyAlignment="1">
      <alignment horizontal="center" vertical="top"/>
    </xf>
    <xf numFmtId="164" fontId="9" fillId="0" borderId="0" xfId="2" applyNumberFormat="1" applyFont="1" applyFill="1" applyBorder="1" applyAlignment="1">
      <alignment horizontal="center" vertical="top"/>
    </xf>
    <xf numFmtId="0" fontId="9" fillId="0" borderId="0" xfId="0" applyFont="1" applyFill="1" applyBorder="1" applyAlignment="1">
      <alignment horizontal="center" vertical="top"/>
    </xf>
    <xf numFmtId="168" fontId="5" fillId="0" borderId="0" xfId="0" applyNumberFormat="1" applyFont="1" applyFill="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left" vertical="top" indent="1"/>
    </xf>
    <xf numFmtId="164" fontId="2" fillId="0" borderId="0" xfId="2" applyNumberFormat="1" applyFont="1" applyFill="1" applyBorder="1" applyAlignment="1">
      <alignment horizontal="left" vertical="top" indent="1"/>
    </xf>
    <xf numFmtId="0" fontId="5" fillId="0" borderId="0" xfId="5" applyFont="1" applyFill="1" applyBorder="1" applyAlignment="1">
      <alignment horizontal="left" vertical="top" indent="1"/>
    </xf>
    <xf numFmtId="164" fontId="5" fillId="0" borderId="0" xfId="2" applyNumberFormat="1" applyFont="1" applyFill="1" applyBorder="1" applyAlignment="1">
      <alignment horizontal="left" vertical="top" wrapText="1" indent="3"/>
    </xf>
    <xf numFmtId="0" fontId="5" fillId="0" borderId="0" xfId="5" applyFont="1" applyFill="1" applyBorder="1" applyAlignment="1">
      <alignment horizontal="left" vertical="top" indent="2"/>
    </xf>
    <xf numFmtId="0" fontId="5" fillId="0" borderId="0" xfId="5" applyFont="1" applyFill="1" applyBorder="1" applyAlignment="1">
      <alignment horizontal="left" vertical="top" indent="4"/>
    </xf>
    <xf numFmtId="0" fontId="5" fillId="0" borderId="0" xfId="5" applyFont="1" applyFill="1" applyBorder="1" applyAlignment="1">
      <alignment horizontal="left" vertical="top" wrapText="1" indent="4"/>
    </xf>
    <xf numFmtId="164" fontId="5" fillId="0" borderId="0" xfId="2" applyNumberFormat="1" applyFont="1" applyFill="1" applyBorder="1" applyAlignment="1">
      <alignment horizontal="left" vertical="center" indent="1"/>
    </xf>
    <xf numFmtId="164" fontId="5" fillId="0" borderId="0" xfId="2" applyNumberFormat="1" applyFont="1" applyFill="1" applyBorder="1" applyAlignment="1">
      <alignment horizontal="left" vertical="top" indent="3"/>
    </xf>
    <xf numFmtId="164" fontId="5" fillId="0" borderId="0" xfId="2" applyNumberFormat="1" applyFont="1" applyFill="1" applyBorder="1" applyAlignment="1">
      <alignment horizontal="left" vertical="top" indent="2"/>
    </xf>
    <xf numFmtId="0" fontId="5" fillId="0" borderId="0" xfId="5" applyFont="1" applyFill="1" applyBorder="1" applyAlignment="1"/>
    <xf numFmtId="164" fontId="2" fillId="0" borderId="0" xfId="2" applyNumberFormat="1" applyFont="1" applyFill="1" applyBorder="1" applyAlignment="1">
      <alignment horizontal="left" vertical="top" indent="2"/>
    </xf>
    <xf numFmtId="164" fontId="2" fillId="0" borderId="0" xfId="3" applyNumberFormat="1" applyFont="1" applyFill="1" applyBorder="1" applyAlignment="1">
      <alignment horizontal="left" vertical="top" indent="3"/>
    </xf>
    <xf numFmtId="164" fontId="5" fillId="0" borderId="0" xfId="2" applyNumberFormat="1" applyFont="1" applyFill="1" applyBorder="1" applyAlignment="1">
      <alignment horizontal="left" vertical="top" wrapText="1" indent="2"/>
    </xf>
    <xf numFmtId="164" fontId="5" fillId="0" borderId="0" xfId="2" applyNumberFormat="1" applyFont="1" applyFill="1" applyBorder="1" applyAlignment="1">
      <alignment horizontal="left" vertical="top" wrapText="1" indent="1"/>
    </xf>
    <xf numFmtId="164" fontId="2" fillId="0" borderId="0" xfId="2" applyNumberFormat="1" applyFont="1" applyFill="1" applyBorder="1" applyAlignment="1">
      <alignment horizontal="left" vertical="top" wrapText="1" indent="1"/>
    </xf>
    <xf numFmtId="164" fontId="5" fillId="0" borderId="0" xfId="2" applyNumberFormat="1" applyFont="1" applyFill="1" applyBorder="1" applyAlignment="1">
      <alignment horizontal="left" vertical="top" indent="1"/>
    </xf>
    <xf numFmtId="0" fontId="5" fillId="0" borderId="0" xfId="4" applyFont="1" applyFill="1" applyBorder="1" applyAlignment="1">
      <alignment horizontal="left" vertical="top" wrapText="1" indent="1"/>
    </xf>
    <xf numFmtId="0" fontId="5" fillId="0" borderId="0" xfId="5" applyFont="1" applyFill="1" applyBorder="1" applyAlignment="1">
      <alignment horizontal="left" vertical="top" wrapText="1" indent="3"/>
    </xf>
    <xf numFmtId="164" fontId="2" fillId="0" borderId="0" xfId="2" applyNumberFormat="1" applyFont="1" applyFill="1" applyBorder="1" applyAlignment="1">
      <alignment horizontal="left" indent="1"/>
    </xf>
    <xf numFmtId="0" fontId="9" fillId="0" borderId="0" xfId="14" applyFont="1" applyFill="1" applyBorder="1" applyAlignment="1">
      <alignment horizontal="left" vertical="top" indent="2"/>
    </xf>
    <xf numFmtId="0" fontId="4" fillId="0" borderId="0" xfId="14" applyFont="1" applyFill="1" applyBorder="1" applyAlignment="1">
      <alignment horizontal="left" vertical="top" wrapText="1" indent="4"/>
    </xf>
    <xf numFmtId="0" fontId="2" fillId="0" borderId="0" xfId="5" applyFont="1" applyFill="1" applyBorder="1" applyAlignment="1">
      <alignment horizontal="left" vertical="top" indent="1"/>
    </xf>
    <xf numFmtId="0" fontId="18" fillId="0" borderId="0" xfId="0" applyFont="1" applyFill="1" applyBorder="1"/>
    <xf numFmtId="1" fontId="12" fillId="0" borderId="0" xfId="0" applyNumberFormat="1" applyFont="1" applyFill="1" applyBorder="1"/>
    <xf numFmtId="0" fontId="2" fillId="0" borderId="0" xfId="5" applyFont="1" applyFill="1" applyBorder="1" applyAlignment="1">
      <alignment horizontal="left" indent="1"/>
    </xf>
    <xf numFmtId="0" fontId="5" fillId="0" borderId="0" xfId="5" applyFont="1" applyFill="1" applyBorder="1" applyAlignment="1">
      <alignment horizontal="left" indent="2"/>
    </xf>
    <xf numFmtId="164" fontId="2" fillId="0" borderId="0" xfId="2" applyNumberFormat="1" applyFont="1" applyFill="1" applyBorder="1" applyAlignment="1">
      <alignment horizontal="left" vertical="top" wrapText="1" indent="2"/>
    </xf>
    <xf numFmtId="0" fontId="5" fillId="0" borderId="0" xfId="4" applyFont="1" applyFill="1" applyBorder="1" applyAlignment="1">
      <alignment horizontal="left" vertical="top"/>
    </xf>
    <xf numFmtId="0" fontId="5" fillId="0" borderId="0" xfId="4" applyFont="1" applyFill="1" applyBorder="1" applyAlignment="1">
      <alignment horizontal="left" vertical="top" wrapText="1" indent="2"/>
    </xf>
    <xf numFmtId="0" fontId="2" fillId="0" borderId="0" xfId="4" applyFont="1" applyFill="1" applyBorder="1" applyAlignment="1">
      <alignment horizontal="left" vertical="top" wrapText="1" indent="1"/>
    </xf>
    <xf numFmtId="0" fontId="5" fillId="0" borderId="0" xfId="4" applyFont="1" applyFill="1" applyBorder="1" applyAlignment="1">
      <alignment horizontal="left" vertical="top" indent="3"/>
    </xf>
    <xf numFmtId="164" fontId="4" fillId="0" borderId="0" xfId="2" applyNumberFormat="1" applyFont="1" applyFill="1" applyBorder="1" applyAlignment="1">
      <alignment horizontal="left" vertical="top" indent="1"/>
    </xf>
    <xf numFmtId="168" fontId="4" fillId="0" borderId="0" xfId="5" applyNumberFormat="1" applyFont="1" applyFill="1" applyBorder="1" applyAlignment="1">
      <alignment horizontal="left" vertical="top" indent="3"/>
    </xf>
    <xf numFmtId="168" fontId="4" fillId="0" borderId="0" xfId="5" applyNumberFormat="1" applyFont="1" applyFill="1" applyBorder="1" applyAlignment="1">
      <alignment horizontal="left" vertical="top" wrapText="1" indent="3"/>
    </xf>
    <xf numFmtId="168" fontId="4" fillId="0" borderId="0" xfId="5" applyNumberFormat="1" applyFont="1" applyFill="1" applyBorder="1" applyAlignment="1">
      <alignment horizontal="justify" vertical="top"/>
    </xf>
    <xf numFmtId="168" fontId="9" fillId="0" borderId="0" xfId="5" applyNumberFormat="1" applyFont="1" applyFill="1" applyBorder="1" applyAlignment="1">
      <alignment horizontal="left" vertical="top" indent="1"/>
    </xf>
    <xf numFmtId="168" fontId="4" fillId="0" borderId="0" xfId="5" applyNumberFormat="1" applyFont="1" applyFill="1" applyBorder="1" applyAlignment="1">
      <alignment horizontal="left" vertical="top" indent="2"/>
    </xf>
    <xf numFmtId="0" fontId="9" fillId="0" borderId="0" xfId="5" applyFont="1" applyFill="1" applyBorder="1" applyAlignment="1">
      <alignment horizontal="left" vertical="top" indent="1"/>
    </xf>
    <xf numFmtId="0" fontId="2" fillId="0" borderId="0" xfId="5" applyFont="1" applyFill="1" applyBorder="1" applyAlignment="1">
      <alignment horizontal="left" vertical="top" indent="2"/>
    </xf>
    <xf numFmtId="164" fontId="2" fillId="0" borderId="0" xfId="2" applyNumberFormat="1" applyFont="1" applyFill="1" applyBorder="1" applyAlignment="1">
      <alignment horizontal="left" indent="2"/>
    </xf>
    <xf numFmtId="0" fontId="2" fillId="0" borderId="0" xfId="5" applyFont="1" applyFill="1" applyBorder="1" applyAlignment="1"/>
    <xf numFmtId="0" fontId="9" fillId="0" borderId="0" xfId="0" applyFont="1" applyFill="1" applyBorder="1" applyAlignment="1">
      <alignment horizontal="left" indent="2"/>
    </xf>
    <xf numFmtId="0" fontId="4" fillId="0" borderId="0" xfId="5" applyFont="1" applyFill="1" applyBorder="1" applyAlignment="1">
      <alignment horizontal="left" vertical="top" indent="2"/>
    </xf>
    <xf numFmtId="164" fontId="2" fillId="0" borderId="0" xfId="2" applyNumberFormat="1" applyFont="1" applyFill="1" applyAlignment="1">
      <alignment wrapText="1"/>
    </xf>
    <xf numFmtId="164" fontId="9" fillId="0" borderId="0" xfId="0" applyNumberFormat="1" applyFont="1" applyFill="1" applyAlignment="1">
      <alignment vertical="top" wrapText="1"/>
    </xf>
    <xf numFmtId="164" fontId="9" fillId="0" borderId="0" xfId="11" applyNumberFormat="1" applyFont="1" applyFill="1" applyAlignment="1">
      <alignment vertical="top" wrapText="1"/>
    </xf>
    <xf numFmtId="164" fontId="9" fillId="0" borderId="0" xfId="11" applyNumberFormat="1" applyFont="1" applyFill="1" applyBorder="1" applyAlignment="1">
      <alignment vertical="top" wrapText="1"/>
    </xf>
    <xf numFmtId="164" fontId="9" fillId="0" borderId="0" xfId="2" applyNumberFormat="1" applyFont="1" applyFill="1" applyBorder="1" applyAlignment="1">
      <alignment vertical="top" wrapText="1"/>
    </xf>
    <xf numFmtId="164" fontId="9" fillId="0" borderId="0" xfId="3" applyNumberFormat="1" applyFont="1" applyFill="1" applyAlignment="1">
      <alignment vertical="top" wrapText="1"/>
    </xf>
    <xf numFmtId="165" fontId="5" fillId="0" borderId="0" xfId="2" applyNumberFormat="1" applyFont="1" applyAlignment="1">
      <alignment horizontal="center"/>
    </xf>
    <xf numFmtId="165" fontId="4" fillId="0" borderId="0" xfId="0" applyNumberFormat="1" applyFont="1" applyFill="1" applyAlignment="1">
      <alignment horizontal="center" vertical="top"/>
    </xf>
    <xf numFmtId="164" fontId="2" fillId="0" borderId="0" xfId="2" applyNumberFormat="1" applyFont="1" applyFill="1" applyAlignment="1">
      <alignment horizontal="left" vertical="top" wrapText="1"/>
    </xf>
    <xf numFmtId="164" fontId="2" fillId="0" borderId="0" xfId="3" applyNumberFormat="1" applyFont="1" applyFill="1" applyBorder="1" applyAlignment="1">
      <alignment horizontal="left" vertical="center" wrapText="1"/>
    </xf>
    <xf numFmtId="164" fontId="2" fillId="5" borderId="2" xfId="0" applyNumberFormat="1" applyFont="1" applyFill="1" applyBorder="1"/>
    <xf numFmtId="0" fontId="9" fillId="0" borderId="0" xfId="0" applyFont="1" applyFill="1" applyAlignment="1">
      <alignment wrapText="1"/>
    </xf>
    <xf numFmtId="0" fontId="9" fillId="0" borderId="0" xfId="0" quotePrefix="1" applyFont="1" applyFill="1" applyAlignment="1">
      <alignment vertical="top" wrapText="1"/>
    </xf>
    <xf numFmtId="164" fontId="9" fillId="5" borderId="2" xfId="11" applyNumberFormat="1" applyFont="1" applyFill="1" applyBorder="1" applyAlignment="1">
      <alignment vertical="top"/>
    </xf>
    <xf numFmtId="0" fontId="9" fillId="0" borderId="0" xfId="0" applyFont="1" applyAlignment="1">
      <alignment vertical="top"/>
    </xf>
    <xf numFmtId="164" fontId="9" fillId="5" borderId="2" xfId="0" applyNumberFormat="1" applyFont="1" applyFill="1" applyBorder="1" applyAlignment="1">
      <alignment vertical="top"/>
    </xf>
    <xf numFmtId="0" fontId="4" fillId="0" borderId="0" xfId="0" applyFont="1" applyAlignment="1">
      <alignment vertical="top" wrapText="1"/>
    </xf>
    <xf numFmtId="164" fontId="9" fillId="0" borderId="0" xfId="11" applyNumberFormat="1" applyFont="1" applyFill="1" applyBorder="1" applyAlignment="1">
      <alignment horizontal="right"/>
    </xf>
    <xf numFmtId="164" fontId="2" fillId="0" borderId="3" xfId="0" applyNumberFormat="1" applyFont="1" applyFill="1" applyBorder="1" applyAlignment="1"/>
    <xf numFmtId="0" fontId="2" fillId="0" borderId="0" xfId="0" applyFont="1" applyFill="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horizontal="center" wrapText="1"/>
    </xf>
    <xf numFmtId="164" fontId="9" fillId="0" borderId="0" xfId="0" applyNumberFormat="1" applyFont="1" applyFill="1" applyBorder="1" applyAlignment="1">
      <alignment vertical="top" wrapText="1"/>
    </xf>
    <xf numFmtId="164" fontId="9" fillId="0" borderId="0" xfId="11" applyNumberFormat="1" applyFont="1" applyFill="1" applyAlignment="1">
      <alignment horizontal="right" vertical="top" wrapText="1"/>
    </xf>
    <xf numFmtId="164" fontId="2" fillId="0" borderId="2" xfId="0" applyNumberFormat="1" applyFont="1" applyFill="1" applyBorder="1" applyAlignment="1">
      <alignment vertical="top"/>
    </xf>
    <xf numFmtId="0" fontId="9" fillId="0" borderId="0" xfId="0" applyFont="1" applyFill="1" applyBorder="1" applyAlignment="1">
      <alignment wrapText="1"/>
    </xf>
    <xf numFmtId="164" fontId="9" fillId="0" borderId="0" xfId="0" applyNumberFormat="1" applyFont="1" applyFill="1" applyBorder="1" applyAlignment="1">
      <alignment wrapText="1"/>
    </xf>
    <xf numFmtId="0" fontId="9" fillId="0" borderId="0" xfId="0" applyFont="1" applyFill="1" applyBorder="1" applyAlignment="1">
      <alignment vertical="top" wrapText="1"/>
    </xf>
    <xf numFmtId="164" fontId="2" fillId="0" borderId="15" xfId="0" applyNumberFormat="1" applyFont="1" applyFill="1" applyBorder="1" applyAlignment="1">
      <alignment vertical="top"/>
    </xf>
    <xf numFmtId="41" fontId="9" fillId="0" borderId="0" xfId="0" applyNumberFormat="1" applyFont="1" applyFill="1" applyBorder="1" applyAlignment="1">
      <alignment vertical="top" wrapText="1"/>
    </xf>
    <xf numFmtId="9" fontId="9" fillId="0" borderId="0" xfId="0" applyNumberFormat="1" applyFont="1" applyFill="1" applyBorder="1" applyAlignment="1">
      <alignment horizontal="left" vertical="top" wrapText="1"/>
    </xf>
    <xf numFmtId="164" fontId="9" fillId="0" borderId="0" xfId="10" applyNumberFormat="1" applyFont="1" applyFill="1" applyAlignment="1">
      <alignment vertical="top" wrapText="1"/>
    </xf>
    <xf numFmtId="164" fontId="9" fillId="0" borderId="0" xfId="11" applyNumberFormat="1" applyFont="1" applyFill="1" applyAlignment="1">
      <alignment wrapText="1"/>
    </xf>
    <xf numFmtId="0" fontId="5" fillId="0" borderId="0" xfId="0" applyFont="1" applyAlignment="1"/>
    <xf numFmtId="164" fontId="5" fillId="0" borderId="0" xfId="2" applyNumberFormat="1" applyFont="1" applyFill="1" applyAlignment="1">
      <alignment horizontal="center" wrapText="1"/>
    </xf>
    <xf numFmtId="164" fontId="5" fillId="0" borderId="0" xfId="3" applyNumberFormat="1" applyFont="1" applyAlignment="1">
      <alignment vertical="top" wrapText="1"/>
    </xf>
    <xf numFmtId="164" fontId="5" fillId="0" borderId="0" xfId="14" applyNumberFormat="1" applyFont="1" applyFill="1" applyAlignment="1">
      <alignment vertical="top" wrapText="1"/>
    </xf>
    <xf numFmtId="0" fontId="5" fillId="0" borderId="0" xfId="0" applyFont="1" applyFill="1" applyBorder="1" applyAlignment="1">
      <alignment horizontal="left" vertical="top"/>
    </xf>
    <xf numFmtId="164" fontId="2" fillId="0" borderId="0" xfId="2" applyNumberFormat="1" applyFont="1" applyFill="1" applyBorder="1" applyAlignment="1">
      <alignment horizontal="left" wrapText="1"/>
    </xf>
    <xf numFmtId="165" fontId="2" fillId="0" borderId="0" xfId="2" quotePrefix="1" applyNumberFormat="1" applyFont="1" applyFill="1" applyAlignment="1">
      <alignment horizontal="center"/>
    </xf>
    <xf numFmtId="165" fontId="2" fillId="0" borderId="0" xfId="2" applyNumberFormat="1" applyFont="1" applyFill="1" applyBorder="1" applyAlignment="1">
      <alignment horizontal="center"/>
    </xf>
    <xf numFmtId="164" fontId="2" fillId="5" borderId="0" xfId="2" applyNumberFormat="1" applyFont="1" applyFill="1" applyBorder="1" applyAlignment="1">
      <alignment horizontal="center"/>
    </xf>
    <xf numFmtId="164" fontId="2" fillId="5" borderId="2" xfId="2" applyNumberFormat="1" applyFont="1" applyFill="1" applyBorder="1" applyAlignment="1">
      <alignment horizontal="center"/>
    </xf>
    <xf numFmtId="0" fontId="5" fillId="0" borderId="0" xfId="0" quotePrefix="1" applyFont="1" applyFill="1" applyBorder="1" applyAlignment="1">
      <alignment horizontal="right"/>
    </xf>
    <xf numFmtId="164" fontId="9" fillId="0" borderId="2" xfId="11" applyNumberFormat="1" applyFont="1" applyBorder="1" applyAlignment="1"/>
    <xf numFmtId="0" fontId="4" fillId="0" borderId="0" xfId="0" applyFont="1" applyFill="1" applyBorder="1" applyAlignment="1">
      <alignment horizontal="left" vertical="top" indent="1"/>
    </xf>
    <xf numFmtId="0" fontId="4" fillId="0" borderId="0" xfId="0" applyFont="1" applyFill="1" applyBorder="1" applyAlignment="1">
      <alignment horizontal="left" vertical="top" indent="3"/>
    </xf>
    <xf numFmtId="3" fontId="9" fillId="0" borderId="0" xfId="0" applyNumberFormat="1" applyFont="1" applyFill="1" applyAlignment="1">
      <alignment vertical="top" wrapText="1"/>
    </xf>
    <xf numFmtId="164" fontId="9" fillId="0" borderId="0" xfId="11" applyNumberFormat="1" applyFont="1" applyFill="1" applyBorder="1" applyAlignment="1">
      <alignment horizontal="right" vertical="top"/>
    </xf>
    <xf numFmtId="164" fontId="9" fillId="0" borderId="0" xfId="11" applyNumberFormat="1" applyFont="1" applyFill="1" applyBorder="1" applyAlignment="1">
      <alignment horizontal="left" vertical="top"/>
    </xf>
    <xf numFmtId="164" fontId="19" fillId="0" borderId="0" xfId="0" applyNumberFormat="1" applyFont="1" applyFill="1" applyBorder="1" applyAlignment="1">
      <alignment vertical="top" wrapText="1"/>
    </xf>
    <xf numFmtId="164" fontId="9" fillId="0" borderId="0" xfId="3" applyNumberFormat="1" applyFont="1" applyFill="1" applyBorder="1" applyAlignment="1">
      <alignment horizontal="center" vertical="center" wrapText="1"/>
    </xf>
    <xf numFmtId="164" fontId="9" fillId="0" borderId="0" xfId="2" applyNumberFormat="1" applyFont="1" applyFill="1" applyAlignment="1">
      <alignment wrapText="1"/>
    </xf>
    <xf numFmtId="0" fontId="9" fillId="0" borderId="0" xfId="5" applyFont="1" applyFill="1" applyAlignment="1">
      <alignment wrapText="1"/>
    </xf>
    <xf numFmtId="164" fontId="9" fillId="0" borderId="0" xfId="2" applyNumberFormat="1" applyFont="1" applyFill="1" applyBorder="1" applyAlignment="1">
      <alignment wrapText="1"/>
    </xf>
    <xf numFmtId="164" fontId="9" fillId="0" borderId="0" xfId="3" applyNumberFormat="1" applyFont="1" applyFill="1" applyBorder="1" applyAlignment="1">
      <alignment vertical="top" wrapText="1"/>
    </xf>
    <xf numFmtId="164" fontId="9" fillId="0" borderId="0" xfId="2" applyNumberFormat="1" applyFont="1" applyFill="1" applyAlignment="1">
      <alignment horizontal="center" vertical="top" wrapText="1"/>
    </xf>
    <xf numFmtId="164" fontId="9" fillId="0" borderId="0" xfId="7" applyNumberFormat="1" applyFont="1" applyFill="1" applyBorder="1" applyAlignment="1">
      <alignment vertical="top" wrapText="1"/>
    </xf>
    <xf numFmtId="164" fontId="9" fillId="0" borderId="0" xfId="6" applyNumberFormat="1" applyFont="1" applyFill="1" applyBorder="1" applyAlignment="1">
      <alignment wrapText="1"/>
    </xf>
    <xf numFmtId="164" fontId="9" fillId="0" borderId="0" xfId="2" applyNumberFormat="1" applyFont="1" applyFill="1" applyBorder="1" applyAlignment="1">
      <alignment horizontal="center" vertical="top" wrapText="1"/>
    </xf>
    <xf numFmtId="164" fontId="9" fillId="0" borderId="0" xfId="2" applyNumberFormat="1" applyFont="1" applyFill="1" applyAlignment="1">
      <alignment horizontal="center" wrapText="1"/>
    </xf>
    <xf numFmtId="164" fontId="9" fillId="0" borderId="0" xfId="3" applyNumberFormat="1" applyFont="1" applyFill="1" applyBorder="1" applyAlignment="1">
      <alignment wrapText="1"/>
    </xf>
    <xf numFmtId="0" fontId="9" fillId="0" borderId="0" xfId="5" applyFont="1" applyFill="1" applyBorder="1" applyAlignment="1">
      <alignment wrapText="1"/>
    </xf>
    <xf numFmtId="164" fontId="9" fillId="0" borderId="0" xfId="11" applyNumberFormat="1" applyFont="1" applyFill="1" applyBorder="1" applyAlignment="1">
      <alignment horizontal="center" vertical="top" wrapText="1"/>
    </xf>
    <xf numFmtId="0" fontId="2" fillId="0" borderId="0" xfId="5" applyFont="1" applyFill="1" applyBorder="1" applyAlignment="1">
      <alignment horizontal="left" vertical="top" wrapText="1" indent="1"/>
    </xf>
    <xf numFmtId="0" fontId="5" fillId="0" borderId="0" xfId="0" quotePrefix="1" applyFont="1" applyFill="1" applyAlignment="1">
      <alignment horizontal="right"/>
    </xf>
    <xf numFmtId="164" fontId="5" fillId="0" borderId="3" xfId="2" applyNumberFormat="1" applyFont="1" applyFill="1" applyBorder="1" applyAlignment="1"/>
    <xf numFmtId="164" fontId="2" fillId="5" borderId="0" xfId="2" applyNumberFormat="1" applyFont="1" applyFill="1" applyBorder="1" applyAlignment="1"/>
    <xf numFmtId="164" fontId="2" fillId="5" borderId="2" xfId="11" applyNumberFormat="1" applyFont="1" applyFill="1" applyBorder="1" applyAlignment="1">
      <alignment horizontal="center" wrapText="1"/>
    </xf>
    <xf numFmtId="164" fontId="2" fillId="5" borderId="2" xfId="2" applyNumberFormat="1" applyFont="1" applyFill="1" applyBorder="1" applyAlignment="1"/>
    <xf numFmtId="0" fontId="9" fillId="0" borderId="0" xfId="0" applyFont="1" applyFill="1" applyAlignment="1">
      <alignment horizontal="center" wrapText="1"/>
    </xf>
    <xf numFmtId="0" fontId="2" fillId="3" borderId="0" xfId="0" applyFont="1" applyFill="1" applyAlignment="1"/>
    <xf numFmtId="0" fontId="2" fillId="3" borderId="0" xfId="0" applyFont="1" applyFill="1" applyBorder="1"/>
    <xf numFmtId="164" fontId="2" fillId="3" borderId="0" xfId="3" applyNumberFormat="1" applyFont="1" applyFill="1" applyAlignment="1"/>
    <xf numFmtId="164" fontId="2" fillId="3" borderId="0" xfId="3" applyNumberFormat="1" applyFont="1" applyFill="1" applyBorder="1" applyAlignment="1">
      <alignment vertical="top"/>
    </xf>
    <xf numFmtId="0" fontId="4" fillId="0" borderId="0" xfId="4" applyFont="1" applyFill="1" applyAlignment="1">
      <alignment horizontal="center" vertical="top"/>
    </xf>
    <xf numFmtId="0" fontId="5" fillId="2" borderId="0" xfId="0" applyFont="1" applyFill="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top" wrapText="1"/>
    </xf>
    <xf numFmtId="164" fontId="2" fillId="4" borderId="0" xfId="2" applyNumberFormat="1" applyFont="1" applyFill="1" applyBorder="1" applyAlignment="1">
      <alignment horizontal="left" vertical="top" wrapText="1"/>
    </xf>
    <xf numFmtId="0" fontId="5" fillId="4" borderId="0" xfId="7" quotePrefix="1" applyNumberFormat="1" applyFont="1" applyFill="1" applyAlignment="1">
      <alignment horizontal="right" vertical="top" wrapText="1"/>
    </xf>
    <xf numFmtId="0" fontId="2" fillId="4" borderId="0" xfId="0" applyFont="1" applyFill="1" applyBorder="1" applyAlignment="1">
      <alignment horizontal="left" vertical="center"/>
    </xf>
    <xf numFmtId="164" fontId="2" fillId="0" borderId="2" xfId="2" applyNumberFormat="1" applyFont="1" applyBorder="1"/>
    <xf numFmtId="164" fontId="2" fillId="0" borderId="3" xfId="11" applyNumberFormat="1" applyFont="1" applyFill="1" applyBorder="1" applyAlignment="1">
      <alignment vertical="top"/>
    </xf>
    <xf numFmtId="0" fontId="2" fillId="0" borderId="0" xfId="0" applyFont="1" applyBorder="1" applyAlignment="1"/>
    <xf numFmtId="41" fontId="2" fillId="0" borderId="3" xfId="0" applyNumberFormat="1" applyFont="1" applyFill="1" applyBorder="1" applyAlignment="1">
      <alignment vertical="top"/>
    </xf>
    <xf numFmtId="164" fontId="2" fillId="0" borderId="0" xfId="2" applyNumberFormat="1" applyFont="1" applyFill="1" applyAlignment="1">
      <alignment horizontal="left" wrapText="1"/>
    </xf>
    <xf numFmtId="164" fontId="4" fillId="0" borderId="0" xfId="3" applyNumberFormat="1" applyFont="1" applyAlignment="1">
      <alignment horizontal="left" vertical="top" wrapText="1"/>
    </xf>
    <xf numFmtId="41" fontId="2" fillId="0" borderId="0" xfId="2" applyNumberFormat="1" applyFont="1" applyFill="1" applyAlignment="1">
      <alignmen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164" fontId="9" fillId="0" borderId="0" xfId="3" applyNumberFormat="1" applyFont="1" applyFill="1" applyBorder="1" applyAlignment="1">
      <alignment vertical="top"/>
    </xf>
    <xf numFmtId="164" fontId="9" fillId="0" borderId="0" xfId="3" applyNumberFormat="1" applyFont="1" applyFill="1" applyBorder="1"/>
    <xf numFmtId="164" fontId="2" fillId="0" borderId="0" xfId="0" applyNumberFormat="1" applyFont="1" applyFill="1" applyBorder="1" applyAlignment="1">
      <alignment horizontal="left" vertical="top" wrapText="1"/>
    </xf>
    <xf numFmtId="0" fontId="2" fillId="0" borderId="0" xfId="13" applyFont="1" applyFill="1" applyBorder="1" applyAlignment="1">
      <alignment horizontal="left" vertical="top" wrapText="1"/>
    </xf>
    <xf numFmtId="0" fontId="2" fillId="0" borderId="0" xfId="13" applyFont="1" applyFill="1" applyBorder="1" applyAlignment="1">
      <alignment horizontal="left" wrapText="1"/>
    </xf>
    <xf numFmtId="41" fontId="2" fillId="0" borderId="0" xfId="13" applyNumberFormat="1" applyFont="1" applyFill="1" applyBorder="1" applyAlignment="1">
      <alignment vertical="top"/>
    </xf>
    <xf numFmtId="41" fontId="2" fillId="0" borderId="0" xfId="13" applyNumberFormat="1" applyFont="1" applyFill="1" applyBorder="1"/>
    <xf numFmtId="167" fontId="2" fillId="0" borderId="0" xfId="0" applyNumberFormat="1" applyFont="1" applyFill="1" applyBorder="1" applyAlignment="1">
      <alignment horizontal="left" vertical="top" wrapText="1"/>
    </xf>
    <xf numFmtId="41" fontId="2" fillId="0" borderId="0" xfId="0" applyNumberFormat="1" applyFont="1" applyFill="1" applyAlignment="1">
      <alignment vertical="top"/>
    </xf>
    <xf numFmtId="164" fontId="5" fillId="4" borderId="0" xfId="2" quotePrefix="1" applyNumberFormat="1" applyFont="1" applyFill="1" applyAlignment="1">
      <alignment horizontal="right" vertical="top"/>
    </xf>
    <xf numFmtId="164" fontId="2" fillId="4" borderId="0" xfId="3" applyNumberFormat="1" applyFont="1" applyFill="1" applyBorder="1" applyAlignment="1">
      <alignment vertical="top"/>
    </xf>
    <xf numFmtId="164" fontId="2" fillId="4" borderId="0" xfId="2" applyNumberFormat="1" applyFont="1" applyFill="1" applyAlignment="1">
      <alignment horizontal="left" vertical="top" wrapText="1"/>
    </xf>
    <xf numFmtId="164" fontId="5" fillId="4" borderId="0" xfId="2" applyNumberFormat="1" applyFont="1" applyFill="1" applyAlignment="1">
      <alignment horizontal="center" vertical="top"/>
    </xf>
    <xf numFmtId="165" fontId="5" fillId="4" borderId="0" xfId="7" applyNumberFormat="1" applyFont="1" applyFill="1" applyAlignment="1">
      <alignment horizontal="center" vertical="top" wrapText="1"/>
    </xf>
    <xf numFmtId="165" fontId="5" fillId="4" borderId="0" xfId="2" quotePrefix="1" applyNumberFormat="1" applyFont="1" applyFill="1" applyAlignment="1">
      <alignment horizontal="center" vertical="top"/>
    </xf>
    <xf numFmtId="0" fontId="5" fillId="4" borderId="0" xfId="6" applyNumberFormat="1" applyFont="1" applyFill="1" applyBorder="1" applyAlignment="1">
      <alignment horizontal="left" vertical="top" wrapText="1" indent="2"/>
    </xf>
    <xf numFmtId="0" fontId="5" fillId="4" borderId="0" xfId="7" applyNumberFormat="1" applyFont="1" applyFill="1" applyBorder="1" applyAlignment="1">
      <alignment horizontal="center" vertical="top" wrapText="1"/>
    </xf>
    <xf numFmtId="0" fontId="5" fillId="4" borderId="0" xfId="7" applyNumberFormat="1" applyFont="1" applyFill="1" applyAlignment="1">
      <alignment horizontal="center" vertical="top" wrapText="1"/>
    </xf>
    <xf numFmtId="164" fontId="2" fillId="2" borderId="0" xfId="2" applyNumberFormat="1" applyFont="1" applyFill="1" applyBorder="1" applyAlignment="1">
      <alignment horizontal="left" vertical="top"/>
    </xf>
    <xf numFmtId="164" fontId="2" fillId="0" borderId="0" xfId="10" applyNumberFormat="1" applyFont="1" applyFill="1" applyBorder="1" applyAlignment="1">
      <alignment horizontal="center" vertical="top" wrapText="1"/>
    </xf>
    <xf numFmtId="164" fontId="2" fillId="0" borderId="0" xfId="10" applyNumberFormat="1" applyFont="1" applyFill="1" applyBorder="1" applyAlignment="1">
      <alignment horizontal="left" vertical="top" wrapText="1"/>
    </xf>
    <xf numFmtId="0" fontId="5" fillId="0" borderId="0" xfId="13" applyFont="1" applyFill="1" applyBorder="1" applyAlignment="1">
      <alignment horizontal="left" vertical="top" wrapText="1" indent="2"/>
    </xf>
    <xf numFmtId="0" fontId="5" fillId="0" borderId="0" xfId="13" applyFont="1" applyFill="1" applyBorder="1" applyAlignment="1">
      <alignment horizontal="left" vertical="top" indent="2"/>
    </xf>
    <xf numFmtId="169" fontId="2" fillId="0" borderId="0" xfId="7" applyNumberFormat="1" applyFont="1" applyFill="1" applyBorder="1" applyAlignment="1">
      <alignment vertical="top" wrapText="1"/>
    </xf>
    <xf numFmtId="164" fontId="2" fillId="0" borderId="0" xfId="7" applyNumberFormat="1" applyFont="1" applyFill="1" applyBorder="1" applyAlignment="1">
      <alignment horizontal="left" vertical="top" wrapText="1"/>
    </xf>
    <xf numFmtId="164" fontId="5" fillId="4" borderId="0" xfId="2" quotePrefix="1" applyNumberFormat="1" applyFont="1" applyFill="1" applyAlignment="1">
      <alignment vertical="top"/>
    </xf>
    <xf numFmtId="0" fontId="5" fillId="4" borderId="0" xfId="6" applyNumberFormat="1" applyFont="1" applyFill="1" applyBorder="1" applyAlignment="1">
      <alignment horizontal="left" vertical="top" wrapText="1" indent="1"/>
    </xf>
    <xf numFmtId="0" fontId="9" fillId="0" borderId="0" xfId="0" applyFont="1" applyFill="1" applyAlignment="1">
      <alignment horizontal="right" vertical="top" wrapText="1"/>
    </xf>
    <xf numFmtId="9" fontId="9" fillId="0" borderId="0" xfId="0" applyNumberFormat="1" applyFont="1" applyFill="1" applyAlignment="1">
      <alignment vertical="top" wrapText="1"/>
    </xf>
    <xf numFmtId="164" fontId="9" fillId="0" borderId="0" xfId="3" applyNumberFormat="1" applyFont="1" applyFill="1" applyBorder="1" applyAlignment="1">
      <alignment vertical="center" wrapText="1"/>
    </xf>
    <xf numFmtId="164" fontId="2" fillId="0" borderId="0" xfId="11" applyNumberFormat="1" applyFont="1" applyFill="1" applyBorder="1" applyAlignment="1" applyProtection="1">
      <alignment horizontal="right"/>
    </xf>
    <xf numFmtId="170" fontId="2" fillId="0" borderId="0" xfId="11" applyNumberFormat="1" applyFont="1" applyFill="1" applyBorder="1" applyAlignment="1">
      <alignment horizontal="right" vertical="top"/>
    </xf>
    <xf numFmtId="164" fontId="2" fillId="0" borderId="0" xfId="11" applyNumberFormat="1" applyFont="1" applyFill="1" applyBorder="1" applyAlignment="1">
      <alignment horizontal="right"/>
    </xf>
    <xf numFmtId="164" fontId="2" fillId="0" borderId="0" xfId="11" applyNumberFormat="1" applyFont="1" applyFill="1" applyBorder="1" applyAlignment="1">
      <alignment horizontal="right" vertical="top"/>
    </xf>
    <xf numFmtId="164" fontId="2" fillId="0" borderId="0" xfId="11" applyNumberFormat="1" applyFont="1" applyFill="1" applyBorder="1" applyAlignment="1">
      <alignment horizontal="left" indent="3"/>
    </xf>
    <xf numFmtId="164" fontId="2" fillId="0" borderId="0" xfId="11" applyNumberFormat="1" applyFont="1" applyFill="1" applyBorder="1" applyAlignment="1" applyProtection="1">
      <alignment horizontal="left" indent="3"/>
    </xf>
    <xf numFmtId="164" fontId="9" fillId="0" borderId="0" xfId="11" applyNumberFormat="1" applyFont="1" applyFill="1" applyAlignment="1"/>
    <xf numFmtId="41" fontId="2" fillId="0" borderId="0" xfId="0" applyNumberFormat="1" applyFont="1" applyFill="1" applyBorder="1" applyAlignment="1">
      <alignment horizontal="center" vertical="center"/>
    </xf>
    <xf numFmtId="41" fontId="2" fillId="0" borderId="0" xfId="0" applyNumberFormat="1" applyFont="1" applyFill="1" applyAlignment="1">
      <alignment horizontal="center" vertical="top"/>
    </xf>
    <xf numFmtId="0" fontId="2" fillId="0" borderId="0" xfId="0" applyFont="1" applyFill="1" applyAlignment="1">
      <alignment horizontal="left" vertical="top" wrapText="1"/>
    </xf>
    <xf numFmtId="41" fontId="9" fillId="0" borderId="0" xfId="0" applyNumberFormat="1" applyFont="1" applyFill="1" applyAlignment="1">
      <alignment vertical="top"/>
    </xf>
    <xf numFmtId="41" fontId="9" fillId="0" borderId="0" xfId="0" applyNumberFormat="1" applyFont="1" applyFill="1"/>
    <xf numFmtId="164" fontId="2" fillId="0" borderId="15" xfId="0" applyNumberFormat="1" applyFont="1" applyFill="1" applyBorder="1" applyAlignment="1">
      <alignment horizontal="center" vertical="top"/>
    </xf>
    <xf numFmtId="3" fontId="9" fillId="0" borderId="0" xfId="0" applyNumberFormat="1" applyFont="1" applyFill="1" applyAlignment="1">
      <alignment horizontal="left" vertical="top" wrapText="1"/>
    </xf>
    <xf numFmtId="3" fontId="2" fillId="0" borderId="0" xfId="0" applyNumberFormat="1" applyFont="1" applyFill="1" applyBorder="1" applyAlignment="1">
      <alignment horizontal="left" vertical="top" wrapText="1"/>
    </xf>
    <xf numFmtId="41" fontId="9" fillId="0" borderId="2" xfId="0" applyNumberFormat="1" applyFont="1" applyFill="1" applyBorder="1"/>
    <xf numFmtId="41" fontId="9" fillId="0" borderId="3" xfId="0" applyNumberFormat="1" applyFont="1" applyFill="1" applyBorder="1"/>
    <xf numFmtId="41" fontId="9" fillId="0" borderId="0" xfId="0" applyNumberFormat="1" applyFont="1" applyFill="1" applyAlignment="1">
      <alignment vertical="top" wrapText="1"/>
    </xf>
    <xf numFmtId="3" fontId="9" fillId="0" borderId="0" xfId="0" applyNumberFormat="1" applyFont="1" applyFill="1" applyAlignment="1">
      <alignment vertical="top"/>
    </xf>
    <xf numFmtId="164" fontId="9" fillId="0" borderId="0" xfId="1" applyNumberFormat="1" applyFont="1" applyFill="1" applyAlignment="1">
      <alignment vertical="top"/>
    </xf>
    <xf numFmtId="164" fontId="9" fillId="0" borderId="4" xfId="0" applyNumberFormat="1" applyFont="1" applyFill="1" applyBorder="1" applyAlignment="1">
      <alignment vertical="top"/>
    </xf>
    <xf numFmtId="0" fontId="2" fillId="0" borderId="0" xfId="0" applyFont="1" applyFill="1" applyBorder="1" applyAlignment="1">
      <alignment horizontal="center" vertical="center"/>
    </xf>
    <xf numFmtId="164" fontId="9" fillId="0" borderId="0" xfId="10" applyNumberFormat="1" applyFont="1" applyFill="1" applyAlignment="1">
      <alignment vertical="top"/>
    </xf>
    <xf numFmtId="164" fontId="9" fillId="0" borderId="0" xfId="10" applyNumberFormat="1" applyFont="1" applyFill="1" applyAlignment="1">
      <alignment horizontal="center" vertical="top"/>
    </xf>
    <xf numFmtId="43" fontId="2" fillId="0" borderId="0" xfId="11" applyFont="1" applyFill="1" applyBorder="1" applyAlignment="1">
      <alignment vertical="top"/>
    </xf>
    <xf numFmtId="170" fontId="2" fillId="0" borderId="0" xfId="11" applyNumberFormat="1" applyFont="1" applyFill="1" applyAlignment="1">
      <alignment vertical="top"/>
    </xf>
    <xf numFmtId="164" fontId="9" fillId="0" borderId="0" xfId="3" applyNumberFormat="1" applyFont="1" applyFill="1" applyAlignment="1">
      <alignment vertical="top"/>
    </xf>
    <xf numFmtId="41" fontId="2" fillId="0" borderId="2" xfId="0" applyNumberFormat="1" applyFont="1" applyBorder="1" applyAlignment="1">
      <alignment vertical="top"/>
    </xf>
    <xf numFmtId="41" fontId="2" fillId="0" borderId="0" xfId="0" applyNumberFormat="1" applyFont="1" applyBorder="1" applyAlignment="1">
      <alignment horizontal="left" vertical="top"/>
    </xf>
    <xf numFmtId="41" fontId="2" fillId="0" borderId="3" xfId="0" applyNumberFormat="1" applyFont="1" applyBorder="1" applyAlignment="1">
      <alignment vertical="top"/>
    </xf>
    <xf numFmtId="0" fontId="9" fillId="0" borderId="1" xfId="0" applyFont="1" applyFill="1" applyBorder="1" applyAlignment="1">
      <alignment horizontal="center" vertical="center"/>
    </xf>
    <xf numFmtId="0" fontId="5" fillId="0" borderId="0" xfId="0" quotePrefix="1" applyFont="1" applyAlignment="1">
      <alignment horizontal="right" vertical="top"/>
    </xf>
    <xf numFmtId="164" fontId="9" fillId="0" borderId="0" xfId="0" applyNumberFormat="1" applyFont="1" applyAlignment="1">
      <alignment vertical="top"/>
    </xf>
    <xf numFmtId="164" fontId="9" fillId="0" borderId="0" xfId="0" applyNumberFormat="1" applyFont="1" applyAlignment="1">
      <alignment horizontal="center" vertical="top"/>
    </xf>
    <xf numFmtId="164" fontId="4" fillId="0" borderId="0" xfId="10" applyNumberFormat="1" applyFont="1" applyBorder="1" applyAlignment="1">
      <alignment vertical="top"/>
    </xf>
    <xf numFmtId="0" fontId="4" fillId="0" borderId="0" xfId="0" applyFont="1" applyBorder="1" applyAlignment="1">
      <alignment vertical="top"/>
    </xf>
    <xf numFmtId="0" fontId="9" fillId="0" borderId="0" xfId="0" applyFont="1" applyBorder="1" applyAlignment="1">
      <alignment vertical="top"/>
    </xf>
    <xf numFmtId="0" fontId="4" fillId="0" borderId="0" xfId="0" applyFont="1" applyAlignment="1">
      <alignment horizontal="center" vertical="top" wrapText="1"/>
    </xf>
    <xf numFmtId="0" fontId="9" fillId="0" borderId="0" xfId="0" applyFont="1" applyFill="1" applyBorder="1" applyAlignment="1">
      <alignment horizontal="left" indent="1"/>
    </xf>
    <xf numFmtId="165" fontId="4" fillId="0" borderId="0" xfId="0" applyNumberFormat="1" applyFont="1" applyFill="1" applyAlignment="1">
      <alignment horizontal="center"/>
    </xf>
    <xf numFmtId="164" fontId="9" fillId="0" borderId="0" xfId="10" applyNumberFormat="1" applyFont="1" applyBorder="1" applyAlignment="1">
      <alignment vertical="top"/>
    </xf>
    <xf numFmtId="41" fontId="9" fillId="0" borderId="0" xfId="0" applyNumberFormat="1" applyFont="1" applyBorder="1" applyAlignment="1">
      <alignment vertical="top"/>
    </xf>
    <xf numFmtId="164" fontId="9" fillId="0" borderId="0" xfId="10" applyNumberFormat="1" applyFont="1" applyBorder="1"/>
    <xf numFmtId="0" fontId="9" fillId="0" borderId="0" xfId="0" applyFont="1" applyAlignment="1">
      <alignment horizontal="center"/>
    </xf>
    <xf numFmtId="164" fontId="4" fillId="0" borderId="0" xfId="10" applyNumberFormat="1" applyFont="1" applyFill="1" applyBorder="1" applyAlignment="1">
      <alignment vertical="top"/>
    </xf>
    <xf numFmtId="0" fontId="9" fillId="0" borderId="0" xfId="0" applyFont="1" applyFill="1" applyBorder="1"/>
    <xf numFmtId="164" fontId="4" fillId="0" borderId="0" xfId="11" applyNumberFormat="1" applyFont="1" applyAlignment="1">
      <alignment vertical="center"/>
    </xf>
    <xf numFmtId="164" fontId="4" fillId="0" borderId="0" xfId="11" applyNumberFormat="1" applyFont="1" applyBorder="1" applyAlignment="1">
      <alignment vertical="center"/>
    </xf>
    <xf numFmtId="0" fontId="4" fillId="0" borderId="0" xfId="0" quotePrefix="1" applyFont="1" applyFill="1" applyAlignment="1">
      <alignment horizontal="right" vertical="top"/>
    </xf>
    <xf numFmtId="0" fontId="5" fillId="0" borderId="0" xfId="0" applyFont="1" applyAlignment="1">
      <alignment horizontal="center"/>
    </xf>
    <xf numFmtId="164" fontId="20" fillId="0" borderId="0" xfId="3" applyNumberFormat="1" applyFont="1" applyAlignment="1">
      <alignment vertical="top"/>
    </xf>
    <xf numFmtId="0" fontId="2" fillId="0" borderId="0" xfId="3" applyNumberFormat="1" applyFont="1" applyAlignment="1">
      <alignment horizontal="left" vertical="top"/>
    </xf>
    <xf numFmtId="164" fontId="2" fillId="0" borderId="3" xfId="2" applyNumberFormat="1" applyFont="1" applyFill="1" applyBorder="1" applyAlignment="1"/>
    <xf numFmtId="164" fontId="19" fillId="0" borderId="0" xfId="0" applyNumberFormat="1" applyFont="1" applyFill="1" applyBorder="1" applyAlignment="1">
      <alignment vertical="top"/>
    </xf>
    <xf numFmtId="164" fontId="2" fillId="0" borderId="2" xfId="3" applyNumberFormat="1" applyFont="1" applyFill="1" applyBorder="1" applyAlignment="1"/>
    <xf numFmtId="164" fontId="9" fillId="0" borderId="0" xfId="3" applyNumberFormat="1" applyFont="1" applyFill="1" applyAlignment="1">
      <alignment vertical="center" wrapText="1"/>
    </xf>
    <xf numFmtId="0" fontId="18" fillId="0" borderId="0" xfId="7" applyNumberFormat="1" applyFont="1" applyFill="1" applyBorder="1" applyAlignment="1">
      <alignment horizontal="left" vertical="top" wrapText="1"/>
    </xf>
    <xf numFmtId="0" fontId="21" fillId="0" borderId="0" xfId="0" applyFont="1" applyFill="1" applyAlignment="1">
      <alignment vertical="top" wrapText="1"/>
    </xf>
    <xf numFmtId="164" fontId="2" fillId="0" borderId="0" xfId="2" applyNumberFormat="1" applyFont="1" applyFill="1" applyBorder="1" applyAlignment="1">
      <alignment horizontal="center" vertical="top" wrapText="1"/>
    </xf>
    <xf numFmtId="0" fontId="18" fillId="0" borderId="0" xfId="2" applyNumberFormat="1" applyFont="1" applyFill="1" applyBorder="1" applyAlignment="1">
      <alignment horizontal="left" vertical="top" wrapText="1"/>
    </xf>
    <xf numFmtId="164" fontId="5" fillId="0" borderId="2" xfId="3" applyNumberFormat="1" applyFont="1" applyFill="1" applyBorder="1" applyAlignment="1">
      <alignment vertical="top"/>
    </xf>
    <xf numFmtId="164" fontId="2" fillId="0" borderId="0" xfId="3" applyNumberFormat="1" applyFont="1" applyFill="1" applyBorder="1" applyAlignment="1">
      <alignment horizontal="center" vertical="top" wrapText="1"/>
    </xf>
    <xf numFmtId="0" fontId="2" fillId="0" borderId="0" xfId="2" applyNumberFormat="1" applyFont="1" applyFill="1" applyAlignment="1">
      <alignment horizontal="left" vertical="top" wrapText="1"/>
    </xf>
    <xf numFmtId="0" fontId="2" fillId="0" borderId="0" xfId="0" applyFont="1" applyFill="1" applyBorder="1" applyAlignment="1">
      <alignment horizontal="left"/>
    </xf>
    <xf numFmtId="0" fontId="9" fillId="0" borderId="0" xfId="0" applyFont="1" applyAlignment="1">
      <alignment horizontal="left"/>
    </xf>
    <xf numFmtId="41" fontId="2" fillId="0" borderId="0" xfId="3" applyNumberFormat="1" applyFont="1" applyFill="1" applyBorder="1" applyAlignment="1">
      <alignment horizontal="left" vertical="top"/>
    </xf>
    <xf numFmtId="41" fontId="2" fillId="0" borderId="2" xfId="3" applyNumberFormat="1" applyFont="1" applyFill="1" applyBorder="1" applyAlignment="1">
      <alignment horizontal="left" vertical="top"/>
    </xf>
    <xf numFmtId="164" fontId="2" fillId="0" borderId="0" xfId="6" applyNumberFormat="1" applyFont="1" applyFill="1" applyBorder="1" applyAlignment="1">
      <alignment horizontal="left" vertical="top" wrapText="1"/>
    </xf>
    <xf numFmtId="0" fontId="2" fillId="0" borderId="0" xfId="0" applyFont="1" applyFill="1" applyAlignment="1">
      <alignment vertical="top" wrapText="1"/>
    </xf>
    <xf numFmtId="164" fontId="9" fillId="3" borderId="0" xfId="3" applyNumberFormat="1" applyFont="1" applyFill="1" applyBorder="1" applyAlignment="1">
      <alignment vertical="center"/>
    </xf>
    <xf numFmtId="0" fontId="2" fillId="0" borderId="0" xfId="3" applyNumberFormat="1" applyFont="1" applyFill="1" applyBorder="1" applyAlignment="1">
      <alignment horizontal="left" vertical="top" wrapText="1"/>
    </xf>
    <xf numFmtId="164" fontId="9" fillId="0" borderId="2" xfId="3" applyNumberFormat="1" applyFont="1" applyFill="1" applyBorder="1" applyAlignment="1">
      <alignment vertical="top"/>
    </xf>
    <xf numFmtId="164" fontId="9" fillId="0" borderId="0" xfId="3" applyNumberFormat="1" applyFont="1" applyFill="1" applyBorder="1" applyAlignment="1">
      <alignment vertical="center"/>
    </xf>
    <xf numFmtId="0" fontId="9" fillId="0" borderId="0" xfId="0" applyFont="1" applyFill="1" applyBorder="1" applyAlignment="1">
      <alignment horizontal="left" vertical="center" wrapText="1"/>
    </xf>
    <xf numFmtId="164" fontId="2" fillId="0" borderId="0" xfId="3" applyNumberFormat="1" applyFont="1" applyFill="1" applyBorder="1" applyAlignment="1"/>
    <xf numFmtId="164" fontId="20" fillId="0" borderId="0" xfId="3" applyNumberFormat="1" applyFont="1" applyFill="1" applyBorder="1" applyAlignment="1">
      <alignment horizontal="center" vertical="top"/>
    </xf>
    <xf numFmtId="164" fontId="5" fillId="0" borderId="0" xfId="3" applyNumberFormat="1" applyFont="1" applyFill="1" applyBorder="1" applyAlignment="1">
      <alignment vertical="top" wrapText="1"/>
    </xf>
    <xf numFmtId="164" fontId="9" fillId="0" borderId="0" xfId="2" applyNumberFormat="1" applyFont="1" applyFill="1" applyAlignment="1">
      <alignment horizontal="left" vertical="center" wrapText="1"/>
    </xf>
    <xf numFmtId="0" fontId="2" fillId="0" borderId="0" xfId="0" applyFont="1" applyFill="1" applyBorder="1" applyAlignment="1">
      <alignment vertical="top" wrapText="1"/>
    </xf>
    <xf numFmtId="3" fontId="2" fillId="0" borderId="0" xfId="13" applyNumberFormat="1" applyFont="1" applyFill="1" applyBorder="1" applyAlignment="1">
      <alignment horizontal="left" vertical="top" wrapText="1"/>
    </xf>
    <xf numFmtId="0" fontId="2" fillId="0" borderId="0" xfId="13" applyFont="1" applyFill="1" applyBorder="1" applyAlignment="1">
      <alignment vertical="top"/>
    </xf>
    <xf numFmtId="0" fontId="2" fillId="0" borderId="0" xfId="13" applyFont="1" applyFill="1" applyBorder="1" applyAlignment="1">
      <alignment vertical="top" wrapText="1"/>
    </xf>
    <xf numFmtId="0" fontId="2" fillId="0" borderId="0" xfId="2" applyNumberFormat="1" applyFont="1" applyFill="1" applyBorder="1" applyAlignment="1">
      <alignment vertical="top" wrapText="1"/>
    </xf>
    <xf numFmtId="164" fontId="2" fillId="0" borderId="0" xfId="3" applyNumberFormat="1" applyFont="1" applyFill="1" applyBorder="1" applyAlignment="1">
      <alignment wrapText="1"/>
    </xf>
    <xf numFmtId="164" fontId="5" fillId="0" borderId="0" xfId="0" applyNumberFormat="1" applyFont="1" applyFill="1" applyBorder="1" applyAlignment="1">
      <alignment horizontal="left" vertical="top" indent="2"/>
    </xf>
    <xf numFmtId="0" fontId="5" fillId="0" borderId="0" xfId="0" applyFont="1" applyFill="1" applyBorder="1" applyAlignment="1">
      <alignment horizontal="left" vertical="center" wrapText="1" indent="2"/>
    </xf>
    <xf numFmtId="164" fontId="2" fillId="10" borderId="0" xfId="0" applyNumberFormat="1" applyFont="1" applyFill="1" applyBorder="1" applyAlignment="1">
      <alignment horizontal="center" wrapText="1"/>
    </xf>
    <xf numFmtId="164" fontId="5" fillId="0" borderId="0" xfId="0" applyNumberFormat="1" applyFont="1" applyAlignment="1">
      <alignment horizontal="center"/>
    </xf>
    <xf numFmtId="164" fontId="2" fillId="10" borderId="0" xfId="0" applyNumberFormat="1" applyFont="1" applyFill="1" applyBorder="1" applyAlignment="1">
      <alignment horizontal="center" vertical="center" wrapText="1"/>
    </xf>
    <xf numFmtId="0" fontId="4" fillId="0" borderId="0" xfId="0" applyFont="1" applyFill="1" applyBorder="1" applyAlignment="1"/>
    <xf numFmtId="164" fontId="5" fillId="0" borderId="0" xfId="0" applyNumberFormat="1" applyFont="1" applyFill="1" applyBorder="1" applyAlignment="1">
      <alignment horizontal="left" vertical="top" wrapText="1" indent="2"/>
    </xf>
    <xf numFmtId="9" fontId="9" fillId="0" borderId="0" xfId="0" quotePrefix="1" applyNumberFormat="1" applyFont="1" applyFill="1" applyBorder="1" applyAlignment="1">
      <alignment horizontal="left" vertical="top" wrapText="1"/>
    </xf>
    <xf numFmtId="0" fontId="3" fillId="0" borderId="0" xfId="0" applyFont="1" applyFill="1" applyBorder="1" applyAlignment="1">
      <alignment horizontal="left"/>
    </xf>
    <xf numFmtId="164" fontId="22" fillId="0" borderId="0" xfId="3" applyNumberFormat="1" applyFont="1" applyFill="1" applyBorder="1" applyAlignment="1">
      <alignment horizontal="center" wrapText="1"/>
    </xf>
    <xf numFmtId="0" fontId="5" fillId="0" borderId="0" xfId="0" applyFont="1" applyFill="1" applyBorder="1" applyAlignment="1">
      <alignment horizontal="left" vertical="top" indent="5"/>
    </xf>
    <xf numFmtId="0" fontId="23" fillId="0" borderId="0" xfId="0" applyFont="1" applyFill="1" applyBorder="1" applyAlignment="1">
      <alignment horizontal="center" vertical="top" wrapText="1"/>
    </xf>
    <xf numFmtId="0" fontId="24" fillId="0" borderId="0" xfId="0" applyFont="1" applyFill="1" applyBorder="1" applyAlignment="1">
      <alignment vertical="top" wrapText="1"/>
    </xf>
    <xf numFmtId="0" fontId="24" fillId="0" borderId="0" xfId="13" applyFont="1" applyFill="1" applyBorder="1" applyAlignment="1">
      <alignment horizontal="center" vertical="top" wrapText="1"/>
    </xf>
    <xf numFmtId="0" fontId="3" fillId="0" borderId="0" xfId="0" applyFont="1" applyFill="1" applyBorder="1" applyAlignment="1">
      <alignment horizontal="left" indent="3"/>
    </xf>
    <xf numFmtId="0" fontId="23" fillId="0" borderId="0" xfId="13" applyFont="1" applyFill="1" applyBorder="1" applyAlignment="1">
      <alignment vertical="top" wrapText="1"/>
    </xf>
    <xf numFmtId="0" fontId="5" fillId="0" borderId="0" xfId="13" applyFont="1" applyFill="1" applyBorder="1" applyAlignment="1">
      <alignment horizontal="left" vertical="top" indent="5"/>
    </xf>
    <xf numFmtId="0" fontId="24" fillId="0" borderId="0" xfId="13" applyFont="1" applyFill="1" applyBorder="1" applyAlignment="1">
      <alignment vertical="top" wrapText="1"/>
    </xf>
    <xf numFmtId="0" fontId="3" fillId="0" borderId="0" xfId="0" applyFont="1" applyFill="1" applyBorder="1" applyAlignment="1">
      <alignment horizontal="left" wrapText="1" indent="3"/>
    </xf>
    <xf numFmtId="0" fontId="5" fillId="0" borderId="0" xfId="13" applyFont="1" applyFill="1" applyBorder="1" applyAlignment="1">
      <alignment horizontal="left" indent="2"/>
    </xf>
    <xf numFmtId="0" fontId="5" fillId="0" borderId="0" xfId="13" applyFont="1" applyFill="1" applyBorder="1" applyAlignment="1">
      <alignment horizontal="left" indent="3"/>
    </xf>
    <xf numFmtId="171" fontId="2" fillId="0" borderId="0" xfId="3" applyNumberFormat="1" applyFont="1" applyFill="1" applyBorder="1" applyAlignment="1">
      <alignment horizontal="left" vertical="top" wrapText="1"/>
    </xf>
    <xf numFmtId="164" fontId="2" fillId="0" borderId="1" xfId="2"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xf>
    <xf numFmtId="0" fontId="5" fillId="0" borderId="0" xfId="7" applyNumberFormat="1" applyFont="1" applyFill="1" applyBorder="1" applyAlignment="1">
      <alignment horizontal="left" vertical="top" wrapText="1" indent="2"/>
    </xf>
    <xf numFmtId="0" fontId="4" fillId="0" borderId="0" xfId="7" applyNumberFormat="1" applyFont="1" applyFill="1" applyBorder="1" applyAlignment="1">
      <alignment horizontal="left" vertical="top" wrapText="1" indent="2"/>
    </xf>
    <xf numFmtId="0" fontId="5" fillId="0" borderId="0" xfId="7" applyNumberFormat="1" applyFont="1" applyFill="1" applyBorder="1" applyAlignment="1">
      <alignment horizontal="left" vertical="top" wrapText="1"/>
    </xf>
    <xf numFmtId="164" fontId="2" fillId="0" borderId="0" xfId="3" applyNumberFormat="1" applyFont="1" applyFill="1" applyBorder="1" applyAlignment="1">
      <alignment horizontal="left" vertical="top" wrapText="1"/>
    </xf>
    <xf numFmtId="0" fontId="2" fillId="0" borderId="0" xfId="2" applyNumberFormat="1" applyFont="1" applyFill="1" applyBorder="1" applyAlignment="1">
      <alignment horizontal="left" vertical="top" wrapText="1"/>
    </xf>
    <xf numFmtId="165" fontId="2" fillId="0" borderId="6" xfId="2" applyNumberFormat="1" applyFont="1" applyFill="1" applyBorder="1" applyAlignment="1">
      <alignment horizontal="center" vertical="center" wrapText="1"/>
    </xf>
    <xf numFmtId="41" fontId="2" fillId="0" borderId="0" xfId="0" applyNumberFormat="1" applyFont="1" applyFill="1" applyBorder="1" applyAlignment="1">
      <alignment horizontal="center" vertical="top"/>
    </xf>
    <xf numFmtId="164" fontId="2" fillId="0" borderId="1" xfId="2" applyNumberFormat="1" applyFont="1" applyFill="1" applyBorder="1" applyAlignment="1">
      <alignment horizontal="center" vertical="center"/>
    </xf>
    <xf numFmtId="41" fontId="5" fillId="0" borderId="0" xfId="7"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64" fontId="9" fillId="0" borderId="0" xfId="3" applyNumberFormat="1" applyFont="1" applyFill="1" applyBorder="1" applyAlignment="1">
      <alignment horizontal="left" vertical="top" wrapText="1"/>
    </xf>
    <xf numFmtId="164" fontId="5" fillId="0" borderId="0" xfId="3" applyNumberFormat="1" applyFont="1" applyFill="1" applyBorder="1" applyAlignment="1">
      <alignment horizontal="left" vertical="top" wrapText="1"/>
    </xf>
    <xf numFmtId="164" fontId="9" fillId="0" borderId="0" xfId="3" applyNumberFormat="1" applyFont="1" applyFill="1" applyBorder="1" applyAlignment="1">
      <alignment horizontal="left" wrapText="1"/>
    </xf>
    <xf numFmtId="164" fontId="5" fillId="0" borderId="0" xfId="3" applyNumberFormat="1" applyFont="1" applyFill="1" applyBorder="1" applyAlignment="1">
      <alignment horizontal="left" vertical="top"/>
    </xf>
    <xf numFmtId="0" fontId="9" fillId="0" borderId="0" xfId="0" applyFont="1" applyFill="1" applyAlignment="1">
      <alignment horizontal="left" vertical="top" wrapText="1"/>
    </xf>
    <xf numFmtId="164" fontId="9" fillId="0" borderId="0" xfId="3" applyNumberFormat="1" applyFont="1" applyFill="1" applyAlignment="1">
      <alignment horizontal="left" vertical="top" wrapText="1"/>
    </xf>
    <xf numFmtId="164" fontId="9" fillId="0" borderId="0" xfId="6" applyNumberFormat="1" applyFont="1" applyFill="1" applyBorder="1" applyAlignment="1">
      <alignment horizontal="left" vertical="top" wrapText="1"/>
    </xf>
    <xf numFmtId="164" fontId="2" fillId="0" borderId="0" xfId="3" applyNumberFormat="1" applyFont="1" applyFill="1" applyAlignment="1">
      <alignment horizontal="left" vertical="top" wrapText="1"/>
    </xf>
    <xf numFmtId="164" fontId="2" fillId="0" borderId="0" xfId="3" applyNumberFormat="1" applyFont="1" applyFill="1" applyBorder="1" applyAlignment="1">
      <alignment horizontal="left" vertical="top"/>
    </xf>
    <xf numFmtId="0" fontId="9" fillId="0" borderId="0" xfId="0" applyFont="1" applyFill="1" applyBorder="1" applyAlignment="1">
      <alignment horizontal="left" wrapText="1"/>
    </xf>
    <xf numFmtId="164" fontId="9" fillId="0" borderId="0" xfId="2" applyNumberFormat="1" applyFont="1" applyFill="1" applyAlignment="1">
      <alignment horizontal="left" vertical="top" wrapText="1"/>
    </xf>
    <xf numFmtId="164" fontId="2" fillId="0" borderId="0" xfId="2" applyNumberFormat="1" applyFont="1" applyFill="1" applyBorder="1" applyAlignment="1">
      <alignment vertical="top" wrapText="1"/>
    </xf>
    <xf numFmtId="164" fontId="9" fillId="0" borderId="0" xfId="3" applyNumberFormat="1" applyFont="1" applyFill="1" applyBorder="1" applyAlignment="1">
      <alignment horizontal="left" vertical="center" wrapText="1"/>
    </xf>
    <xf numFmtId="164" fontId="2" fillId="0" borderId="0" xfId="2" applyNumberFormat="1" applyFont="1" applyFill="1" applyBorder="1" applyAlignment="1">
      <alignment horizontal="left" vertical="center" wrapText="1"/>
    </xf>
    <xf numFmtId="164" fontId="2" fillId="0" borderId="0" xfId="2" applyNumberFormat="1" applyFont="1" applyFill="1" applyBorder="1" applyAlignment="1">
      <alignment horizontal="left" vertical="top" wrapText="1"/>
    </xf>
    <xf numFmtId="0" fontId="5" fillId="0" borderId="0" xfId="5" applyFont="1" applyFill="1" applyAlignment="1">
      <alignment horizontal="center" vertical="top"/>
    </xf>
    <xf numFmtId="164" fontId="2" fillId="0" borderId="0" xfId="11" applyNumberFormat="1" applyFont="1" applyFill="1" applyBorder="1" applyAlignment="1">
      <alignment horizontal="center" vertical="top"/>
    </xf>
    <xf numFmtId="164" fontId="5" fillId="0" borderId="0" xfId="2" applyNumberFormat="1" applyFont="1" applyFill="1" applyAlignment="1">
      <alignment horizontal="left" vertical="center"/>
    </xf>
    <xf numFmtId="164" fontId="5" fillId="0" borderId="0" xfId="8" applyNumberFormat="1" applyFont="1" applyFill="1" applyAlignment="1">
      <alignment vertical="top" wrapText="1"/>
    </xf>
    <xf numFmtId="164" fontId="5" fillId="0" borderId="0" xfId="2" applyNumberFormat="1" applyFont="1" applyFill="1" applyBorder="1" applyAlignment="1">
      <alignment horizontal="center" vertical="center"/>
    </xf>
    <xf numFmtId="0" fontId="5" fillId="0" borderId="0" xfId="5" applyFont="1" applyFill="1" applyBorder="1" applyAlignment="1">
      <alignment horizontal="left" vertical="top" wrapText="1" indent="2"/>
    </xf>
    <xf numFmtId="0" fontId="9" fillId="0" borderId="0" xfId="6" applyNumberFormat="1" applyFont="1" applyFill="1" applyBorder="1" applyAlignment="1">
      <alignment horizontal="left" vertical="top" wrapText="1"/>
    </xf>
    <xf numFmtId="0" fontId="9" fillId="0" borderId="0" xfId="7" applyNumberFormat="1" applyFont="1" applyFill="1" applyBorder="1" applyAlignment="1">
      <alignment horizontal="left" vertical="top" wrapText="1"/>
    </xf>
    <xf numFmtId="164" fontId="5" fillId="0" borderId="0" xfId="2" applyNumberFormat="1" applyFont="1" applyFill="1" applyAlignment="1">
      <alignment horizontal="left" vertical="top" wrapText="1"/>
    </xf>
    <xf numFmtId="164" fontId="5" fillId="0" borderId="7" xfId="2" applyNumberFormat="1" applyFont="1" applyFill="1" applyBorder="1" applyAlignment="1">
      <alignment horizontal="center" vertical="top"/>
    </xf>
    <xf numFmtId="164" fontId="5" fillId="0" borderId="0" xfId="2" applyNumberFormat="1" applyFont="1" applyFill="1" applyBorder="1" applyAlignment="1">
      <alignment horizontal="center" vertical="top"/>
    </xf>
    <xf numFmtId="164" fontId="5" fillId="0" borderId="0" xfId="2" applyNumberFormat="1" applyFont="1" applyFill="1" applyAlignment="1">
      <alignment horizontal="center" vertical="top"/>
    </xf>
    <xf numFmtId="164" fontId="5" fillId="0" borderId="0" xfId="2" applyNumberFormat="1" applyFont="1" applyFill="1" applyAlignment="1">
      <alignment horizontal="center" vertical="top" wrapText="1"/>
    </xf>
    <xf numFmtId="0" fontId="5" fillId="0" borderId="0" xfId="0" quotePrefix="1" applyFont="1" applyFill="1" applyAlignment="1">
      <alignment horizontal="right" vertical="top"/>
    </xf>
    <xf numFmtId="164" fontId="2" fillId="0" borderId="0" xfId="2" applyNumberFormat="1" applyFont="1" applyFill="1" applyAlignment="1">
      <alignment horizontal="center" vertical="top"/>
    </xf>
    <xf numFmtId="0" fontId="5" fillId="0" borderId="0" xfId="5" applyFont="1" applyFill="1" applyBorder="1" applyAlignment="1">
      <alignment horizontal="left" vertical="top" wrapText="1" indent="1"/>
    </xf>
    <xf numFmtId="0" fontId="9" fillId="0" borderId="0" xfId="0" applyFont="1" applyFill="1" applyAlignment="1">
      <alignment horizontal="left" wrapText="1"/>
    </xf>
    <xf numFmtId="164" fontId="9" fillId="0" borderId="0" xfId="3" applyNumberFormat="1" applyFont="1" applyFill="1" applyBorder="1" applyAlignment="1">
      <alignment horizontal="center" vertical="top" wrapText="1"/>
    </xf>
    <xf numFmtId="165" fontId="5" fillId="0" borderId="0" xfId="0" applyNumberFormat="1" applyFont="1"/>
    <xf numFmtId="171" fontId="5" fillId="0" borderId="0" xfId="7" applyNumberFormat="1" applyFont="1" applyFill="1" applyBorder="1" applyAlignment="1">
      <alignment vertical="top" wrapText="1"/>
    </xf>
    <xf numFmtId="164" fontId="5" fillId="0" borderId="0" xfId="7" applyNumberFormat="1" applyFont="1" applyFill="1" applyAlignment="1">
      <alignment horizontal="center" vertical="top" wrapText="1"/>
    </xf>
    <xf numFmtId="0" fontId="4" fillId="0" borderId="0" xfId="0" applyNumberFormat="1" applyFont="1" applyFill="1"/>
    <xf numFmtId="0" fontId="5" fillId="0" borderId="0" xfId="2" applyNumberFormat="1" applyFont="1" applyFill="1" applyAlignment="1">
      <alignment horizontal="left" vertical="top" wrapText="1"/>
    </xf>
    <xf numFmtId="0" fontId="4" fillId="0" borderId="0" xfId="2" applyNumberFormat="1" applyFont="1" applyFill="1" applyAlignment="1">
      <alignment vertical="top" wrapText="1"/>
    </xf>
    <xf numFmtId="0" fontId="9" fillId="0" borderId="0" xfId="0" applyFont="1" applyFill="1" applyBorder="1" applyAlignment="1">
      <alignment horizontal="center" vertical="center"/>
    </xf>
    <xf numFmtId="0" fontId="2" fillId="0" borderId="0" xfId="0" applyFont="1" applyFill="1" applyAlignment="1">
      <alignment horizontal="center"/>
    </xf>
    <xf numFmtId="164" fontId="2" fillId="0" borderId="0" xfId="0" applyNumberFormat="1" applyFont="1" applyFill="1" applyBorder="1"/>
    <xf numFmtId="164" fontId="2" fillId="5" borderId="0" xfId="0" applyNumberFormat="1" applyFont="1" applyFill="1" applyBorder="1"/>
    <xf numFmtId="164" fontId="4" fillId="0" borderId="0" xfId="11" applyNumberFormat="1" applyFont="1" applyAlignment="1">
      <alignment vertical="top"/>
    </xf>
    <xf numFmtId="164" fontId="9" fillId="5" borderId="0" xfId="11" applyNumberFormat="1" applyFont="1" applyFill="1" applyAlignment="1">
      <alignment vertical="top"/>
    </xf>
    <xf numFmtId="0" fontId="9"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wrapText="1"/>
    </xf>
    <xf numFmtId="0" fontId="25" fillId="0" borderId="0" xfId="0" applyFont="1" applyBorder="1" applyAlignment="1">
      <alignment horizontal="center" wrapText="1"/>
    </xf>
    <xf numFmtId="0" fontId="4" fillId="0" borderId="0" xfId="0" applyFont="1" applyBorder="1" applyAlignment="1">
      <alignment horizontal="left" vertical="center" wrapText="1"/>
    </xf>
    <xf numFmtId="0" fontId="4" fillId="0" borderId="0" xfId="0" applyFont="1" applyBorder="1" applyAlignment="1">
      <alignment vertical="top" wrapText="1"/>
    </xf>
    <xf numFmtId="0" fontId="9" fillId="0" borderId="0" xfId="0" applyFont="1" applyFill="1" applyBorder="1" applyAlignment="1">
      <alignment horizontal="left" vertical="top" indent="1"/>
    </xf>
    <xf numFmtId="165" fontId="9" fillId="0" borderId="0" xfId="0" applyNumberFormat="1" applyFont="1" applyFill="1" applyAlignment="1">
      <alignment vertical="top"/>
    </xf>
    <xf numFmtId="0" fontId="5" fillId="4" borderId="0" xfId="0" quotePrefix="1" applyFont="1" applyFill="1" applyAlignment="1">
      <alignment horizontal="right"/>
    </xf>
    <xf numFmtId="0" fontId="4" fillId="0" borderId="0" xfId="0" applyFont="1" applyFill="1" applyBorder="1" applyAlignment="1">
      <alignment horizontal="left" indent="2"/>
    </xf>
    <xf numFmtId="0" fontId="12" fillId="0" borderId="0" xfId="0" applyFont="1" applyFill="1" applyBorder="1" applyAlignment="1" applyProtection="1">
      <alignment horizontal="left"/>
    </xf>
    <xf numFmtId="164" fontId="18" fillId="8" borderId="0" xfId="11" applyNumberFormat="1" applyFont="1" applyFill="1" applyBorder="1" applyAlignment="1" applyProtection="1">
      <alignment horizontal="right"/>
    </xf>
    <xf numFmtId="0" fontId="26" fillId="0" borderId="0" xfId="0" applyFont="1" applyFill="1" applyAlignment="1">
      <alignment horizontal="center" wrapText="1"/>
    </xf>
    <xf numFmtId="164" fontId="5" fillId="0" borderId="0" xfId="0" applyNumberFormat="1" applyFont="1" applyAlignment="1"/>
    <xf numFmtId="164" fontId="5" fillId="0" borderId="0" xfId="0" applyNumberFormat="1" applyFont="1" applyFill="1" applyBorder="1" applyAlignment="1">
      <alignment vertical="top"/>
    </xf>
    <xf numFmtId="164" fontId="12" fillId="8" borderId="0" xfId="11" applyNumberFormat="1" applyFont="1" applyFill="1" applyBorder="1" applyAlignment="1" applyProtection="1">
      <alignment horizontal="left" indent="3"/>
    </xf>
    <xf numFmtId="0" fontId="5" fillId="0" borderId="0" xfId="0" applyFont="1" applyFill="1" applyBorder="1" applyAlignment="1" applyProtection="1">
      <alignment horizontal="left"/>
    </xf>
    <xf numFmtId="0" fontId="26" fillId="0" borderId="0" xfId="0" applyFont="1" applyFill="1"/>
    <xf numFmtId="0" fontId="4" fillId="0" borderId="0" xfId="0" applyFont="1" applyFill="1" applyAlignment="1">
      <alignment horizontal="center" wrapText="1"/>
    </xf>
    <xf numFmtId="0" fontId="2" fillId="0" borderId="0" xfId="0" applyFont="1" applyFill="1" applyBorder="1" applyAlignment="1">
      <alignment horizontal="left" indent="2"/>
    </xf>
    <xf numFmtId="164" fontId="9" fillId="0" borderId="0" xfId="11" applyNumberFormat="1" applyFont="1" applyFill="1" applyAlignment="1">
      <alignment vertical="center"/>
    </xf>
    <xf numFmtId="164" fontId="4" fillId="0" borderId="0" xfId="11" applyNumberFormat="1" applyFont="1" applyFill="1" applyAlignment="1">
      <alignment horizontal="center" vertical="center"/>
    </xf>
    <xf numFmtId="164" fontId="4" fillId="0" borderId="0" xfId="0" applyNumberFormat="1" applyFont="1" applyFill="1" applyAlignment="1">
      <alignment horizontal="center" vertical="top"/>
    </xf>
    <xf numFmtId="164" fontId="4" fillId="0" borderId="0" xfId="0" applyNumberFormat="1" applyFont="1" applyFill="1" applyAlignment="1">
      <alignment vertical="top"/>
    </xf>
    <xf numFmtId="164" fontId="5" fillId="0" borderId="0" xfId="0" applyNumberFormat="1" applyFont="1" applyFill="1" applyAlignment="1">
      <alignment horizontal="center" vertical="top" wrapText="1"/>
    </xf>
    <xf numFmtId="0" fontId="5" fillId="0" borderId="0" xfId="14" applyNumberFormat="1" applyFont="1" applyFill="1" applyAlignment="1">
      <alignment horizontal="left" vertical="top" wrapText="1"/>
    </xf>
    <xf numFmtId="168" fontId="4" fillId="0" borderId="0" xfId="0" applyNumberFormat="1" applyFont="1" applyFill="1" applyBorder="1" applyAlignment="1" applyProtection="1">
      <alignment horizontal="center" vertical="top"/>
    </xf>
    <xf numFmtId="0" fontId="4" fillId="0" borderId="0" xfId="0" applyFont="1" applyFill="1" applyBorder="1" applyAlignment="1">
      <alignment horizontal="left" vertical="top" indent="2"/>
    </xf>
    <xf numFmtId="0" fontId="4" fillId="0" borderId="0" xfId="0" applyFont="1" applyFill="1" applyBorder="1" applyAlignment="1">
      <alignment horizontal="left"/>
    </xf>
    <xf numFmtId="0" fontId="4" fillId="0" borderId="0" xfId="0" applyFont="1" applyFill="1" applyBorder="1" applyAlignment="1">
      <alignment horizontal="left" vertical="center" indent="2"/>
    </xf>
    <xf numFmtId="0" fontId="4" fillId="0" borderId="0" xfId="0" applyFont="1" applyFill="1" applyBorder="1" applyAlignment="1">
      <alignment horizontal="left" vertical="center" indent="3"/>
    </xf>
    <xf numFmtId="0" fontId="5" fillId="0" borderId="0" xfId="0" applyNumberFormat="1" applyFont="1" applyFill="1" applyBorder="1" applyAlignment="1" applyProtection="1">
      <alignment horizontal="center" vertical="top"/>
    </xf>
    <xf numFmtId="41" fontId="9" fillId="0" borderId="0" xfId="0" applyNumberFormat="1" applyFont="1" applyAlignment="1">
      <alignment vertical="top"/>
    </xf>
    <xf numFmtId="0" fontId="9" fillId="3" borderId="0" xfId="0" applyFont="1" applyFill="1" applyBorder="1" applyAlignment="1"/>
    <xf numFmtId="0" fontId="2" fillId="3" borderId="0" xfId="0" applyFont="1" applyFill="1" applyBorder="1" applyAlignment="1">
      <alignment horizontal="center"/>
    </xf>
    <xf numFmtId="165" fontId="2" fillId="3" borderId="0" xfId="0" applyNumberFormat="1" applyFont="1" applyFill="1" applyBorder="1"/>
    <xf numFmtId="0" fontId="5" fillId="3" borderId="0" xfId="0" applyFont="1" applyFill="1" applyBorder="1"/>
    <xf numFmtId="41" fontId="5" fillId="3" borderId="0" xfId="0" applyNumberFormat="1" applyFont="1" applyFill="1" applyBorder="1"/>
    <xf numFmtId="0" fontId="2" fillId="3" borderId="0" xfId="0" applyFont="1" applyFill="1" applyBorder="1" applyAlignment="1">
      <alignment vertical="top"/>
    </xf>
    <xf numFmtId="0" fontId="5" fillId="3" borderId="0" xfId="0" applyFont="1" applyFill="1" applyBorder="1" applyAlignment="1">
      <alignment vertical="top"/>
    </xf>
    <xf numFmtId="0" fontId="2" fillId="0" borderId="0" xfId="0" applyFont="1" applyFill="1" applyBorder="1" applyAlignment="1">
      <alignment horizontal="center" vertical="top"/>
    </xf>
    <xf numFmtId="0" fontId="9" fillId="0" borderId="0" xfId="0" applyFont="1" applyFill="1" applyBorder="1" applyAlignment="1">
      <alignment horizontal="left" vertical="center" indent="1"/>
    </xf>
    <xf numFmtId="0" fontId="2" fillId="0" borderId="0" xfId="0" applyFont="1" applyFill="1" applyAlignment="1">
      <alignment wrapText="1"/>
    </xf>
    <xf numFmtId="0" fontId="4" fillId="0" borderId="2" xfId="0" applyFont="1" applyFill="1" applyBorder="1"/>
    <xf numFmtId="0" fontId="4" fillId="4" borderId="0" xfId="0" quotePrefix="1" applyFont="1" applyFill="1" applyAlignment="1">
      <alignment horizontal="right" vertical="top"/>
    </xf>
    <xf numFmtId="0" fontId="2" fillId="4" borderId="0" xfId="0" applyFont="1" applyFill="1" applyAlignment="1">
      <alignment wrapText="1"/>
    </xf>
    <xf numFmtId="0" fontId="2" fillId="4" borderId="0" xfId="0" applyFont="1" applyFill="1" applyAlignment="1"/>
    <xf numFmtId="0" fontId="4" fillId="0" borderId="0" xfId="0" applyFont="1" applyAlignment="1">
      <alignment horizontal="left" vertical="top" wrapText="1"/>
    </xf>
    <xf numFmtId="0" fontId="9" fillId="0" borderId="2" xfId="0" applyFont="1" applyFill="1" applyBorder="1"/>
    <xf numFmtId="164" fontId="4" fillId="0" borderId="0" xfId="0" applyNumberFormat="1" applyFont="1" applyAlignment="1">
      <alignment vertical="top"/>
    </xf>
    <xf numFmtId="0" fontId="9" fillId="0" borderId="0" xfId="0" applyFont="1" applyFill="1" applyAlignment="1">
      <alignment horizontal="left" indent="2"/>
    </xf>
    <xf numFmtId="0" fontId="9" fillId="0" borderId="0" xfId="0" applyFont="1" applyFill="1" applyAlignment="1">
      <alignment horizontal="left" indent="3"/>
    </xf>
    <xf numFmtId="164" fontId="4" fillId="0" borderId="0" xfId="10" applyNumberFormat="1" applyFont="1" applyFill="1" applyBorder="1" applyAlignment="1"/>
    <xf numFmtId="41" fontId="4" fillId="0" borderId="0" xfId="10" applyNumberFormat="1" applyFont="1" applyFill="1" applyBorder="1" applyAlignment="1"/>
    <xf numFmtId="41" fontId="4" fillId="0" borderId="0" xfId="10" applyNumberFormat="1" applyFont="1" applyFill="1" applyBorder="1" applyAlignment="1">
      <alignment vertical="top"/>
    </xf>
    <xf numFmtId="41" fontId="4" fillId="0" borderId="0" xfId="10" applyNumberFormat="1" applyFont="1" applyFill="1" applyBorder="1" applyAlignment="1">
      <alignment vertical="center"/>
    </xf>
    <xf numFmtId="41" fontId="4" fillId="0" borderId="0" xfId="0" applyNumberFormat="1" applyFont="1" applyFill="1" applyBorder="1"/>
    <xf numFmtId="41" fontId="4" fillId="0" borderId="0" xfId="0" applyNumberFormat="1" applyFont="1" applyFill="1"/>
    <xf numFmtId="41" fontId="4" fillId="0" borderId="0" xfId="10" applyNumberFormat="1" applyFont="1" applyFill="1" applyBorder="1"/>
    <xf numFmtId="165" fontId="4" fillId="0" borderId="0" xfId="0" applyNumberFormat="1" applyFont="1" applyFill="1" applyBorder="1"/>
    <xf numFmtId="164" fontId="4" fillId="0" borderId="0" xfId="0" applyNumberFormat="1" applyFont="1" applyFill="1"/>
    <xf numFmtId="41" fontId="15" fillId="0" borderId="7" xfId="0" applyNumberFormat="1" applyFont="1" applyFill="1" applyBorder="1"/>
    <xf numFmtId="164" fontId="4" fillId="0" borderId="0" xfId="0" applyNumberFormat="1" applyFont="1" applyFill="1" applyBorder="1" applyAlignment="1">
      <alignment horizontal="center" vertical="top"/>
    </xf>
    <xf numFmtId="41" fontId="4" fillId="0" borderId="0" xfId="0" applyNumberFormat="1" applyFont="1" applyFill="1" applyBorder="1" applyAlignment="1">
      <alignment vertical="top"/>
    </xf>
    <xf numFmtId="164" fontId="4" fillId="0" borderId="0" xfId="10" applyNumberFormat="1" applyFont="1" applyFill="1" applyBorder="1" applyAlignment="1">
      <alignment horizontal="center" vertical="center"/>
    </xf>
    <xf numFmtId="41" fontId="4" fillId="0" borderId="0" xfId="10" applyNumberFormat="1" applyFont="1" applyFill="1" applyBorder="1" applyAlignment="1">
      <alignment horizontal="center" vertical="center"/>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center" vertical="top"/>
    </xf>
    <xf numFmtId="41" fontId="4" fillId="0" borderId="0" xfId="11" applyNumberFormat="1" applyFont="1" applyFill="1" applyAlignment="1">
      <alignment vertical="top"/>
    </xf>
    <xf numFmtId="41" fontId="4" fillId="0" borderId="0" xfId="11" applyNumberFormat="1" applyFont="1" applyFill="1" applyAlignment="1">
      <alignment horizontal="center" vertical="center"/>
    </xf>
    <xf numFmtId="41" fontId="4" fillId="0" borderId="0" xfId="0" applyNumberFormat="1" applyFont="1" applyFill="1" applyBorder="1" applyAlignment="1">
      <alignment horizontal="center" vertical="top"/>
    </xf>
    <xf numFmtId="0" fontId="9" fillId="0" borderId="0" xfId="0" applyFont="1" applyFill="1" applyBorder="1" applyAlignment="1">
      <alignment horizontal="left" vertical="top"/>
    </xf>
    <xf numFmtId="0" fontId="9" fillId="0" borderId="3" xfId="0" applyFont="1" applyFill="1" applyBorder="1"/>
    <xf numFmtId="41" fontId="9" fillId="0" borderId="0" xfId="0" applyNumberFormat="1" applyFont="1" applyFill="1" applyBorder="1"/>
    <xf numFmtId="0" fontId="4" fillId="0" borderId="0" xfId="0" applyFont="1" applyFill="1" applyAlignment="1">
      <alignment wrapText="1"/>
    </xf>
    <xf numFmtId="164" fontId="4" fillId="0" borderId="0" xfId="0" applyNumberFormat="1" applyFont="1" applyFill="1" applyAlignment="1">
      <alignment wrapText="1"/>
    </xf>
    <xf numFmtId="0" fontId="4" fillId="0" borderId="2" xfId="0" applyFont="1" applyFill="1" applyBorder="1" applyAlignment="1"/>
    <xf numFmtId="41" fontId="4" fillId="0" borderId="0" xfId="0" applyNumberFormat="1" applyFont="1" applyFill="1" applyAlignment="1">
      <alignment vertical="top"/>
    </xf>
    <xf numFmtId="0" fontId="4" fillId="0" borderId="0" xfId="0" applyFont="1" applyBorder="1" applyAlignment="1">
      <alignment horizontal="left" indent="3"/>
    </xf>
    <xf numFmtId="0" fontId="2" fillId="4" borderId="0" xfId="0" applyFont="1" applyFill="1"/>
    <xf numFmtId="0" fontId="9" fillId="4" borderId="0" xfId="0" applyFont="1" applyFill="1"/>
    <xf numFmtId="0" fontId="4" fillId="0" borderId="0" xfId="0" applyNumberFormat="1" applyFont="1" applyAlignment="1">
      <alignment horizontal="center" vertical="top"/>
    </xf>
    <xf numFmtId="0" fontId="4" fillId="0" borderId="0" xfId="11" applyNumberFormat="1" applyFont="1" applyAlignment="1">
      <alignment horizontal="center" vertical="top"/>
    </xf>
    <xf numFmtId="165" fontId="4" fillId="0" borderId="0" xfId="0" applyNumberFormat="1" applyFont="1" applyAlignment="1">
      <alignment vertical="top"/>
    </xf>
    <xf numFmtId="165" fontId="4" fillId="0" borderId="0" xfId="0" applyNumberFormat="1" applyFont="1" applyAlignment="1">
      <alignment horizontal="center" vertical="top"/>
    </xf>
    <xf numFmtId="41" fontId="2" fillId="0" borderId="0" xfId="0" applyNumberFormat="1" applyFont="1" applyBorder="1" applyAlignment="1">
      <alignment vertical="top"/>
    </xf>
    <xf numFmtId="164" fontId="2" fillId="0" borderId="0" xfId="11" applyNumberFormat="1" applyFont="1" applyBorder="1" applyAlignment="1">
      <alignment vertical="top"/>
    </xf>
    <xf numFmtId="41" fontId="2" fillId="0" borderId="0" xfId="0" applyNumberFormat="1" applyFont="1" applyBorder="1" applyAlignment="1">
      <alignment horizontal="center" vertical="top"/>
    </xf>
    <xf numFmtId="0" fontId="4" fillId="0" borderId="0" xfId="0" applyNumberFormat="1" applyFont="1" applyAlignment="1">
      <alignment horizontal="center"/>
    </xf>
    <xf numFmtId="0" fontId="4" fillId="0" borderId="0" xfId="11" applyNumberFormat="1" applyFont="1" applyAlignment="1">
      <alignment horizontal="center"/>
    </xf>
    <xf numFmtId="0" fontId="4" fillId="0" borderId="0" xfId="0" applyFont="1" applyAlignment="1">
      <alignment horizontal="left" vertical="top" wrapText="1" indent="2"/>
    </xf>
    <xf numFmtId="0" fontId="4" fillId="0" borderId="0" xfId="0" applyFont="1" applyAlignment="1">
      <alignment horizontal="left" wrapText="1" indent="2"/>
    </xf>
    <xf numFmtId="0" fontId="4" fillId="4" borderId="0" xfId="0" applyFont="1" applyFill="1" applyAlignment="1">
      <alignment horizontal="left" wrapText="1" indent="2"/>
    </xf>
    <xf numFmtId="0" fontId="26" fillId="0" borderId="0" xfId="0" applyFont="1" applyFill="1" applyAlignment="1">
      <alignment wrapText="1"/>
    </xf>
    <xf numFmtId="0" fontId="4" fillId="0" borderId="0" xfId="0" applyFont="1" applyFill="1" applyAlignment="1">
      <alignment horizontal="left" indent="2"/>
    </xf>
    <xf numFmtId="0" fontId="27" fillId="0" borderId="0" xfId="0" applyFont="1" applyFill="1"/>
    <xf numFmtId="0" fontId="10" fillId="0" borderId="0" xfId="7" applyNumberFormat="1" applyFont="1" applyFill="1" applyBorder="1" applyAlignment="1">
      <alignment horizontal="left" wrapText="1" indent="3"/>
    </xf>
    <xf numFmtId="164" fontId="2" fillId="0" borderId="13" xfId="3" applyNumberFormat="1" applyFont="1" applyFill="1" applyBorder="1" applyAlignment="1">
      <alignment horizontal="center" vertical="center"/>
    </xf>
    <xf numFmtId="164" fontId="2" fillId="0" borderId="10" xfId="3" applyNumberFormat="1" applyFont="1" applyFill="1" applyBorder="1" applyAlignment="1">
      <alignment horizontal="center" vertical="center"/>
    </xf>
    <xf numFmtId="164" fontId="2" fillId="0" borderId="14" xfId="3" applyNumberFormat="1" applyFont="1" applyFill="1" applyBorder="1" applyAlignment="1">
      <alignment horizontal="center" vertical="center"/>
    </xf>
    <xf numFmtId="164" fontId="2" fillId="0" borderId="11" xfId="3" applyNumberFormat="1" applyFont="1" applyFill="1" applyBorder="1" applyAlignment="1">
      <alignment horizontal="center" vertical="center"/>
    </xf>
    <xf numFmtId="164" fontId="2" fillId="0" borderId="1" xfId="3" applyNumberFormat="1" applyFont="1" applyFill="1" applyBorder="1" applyAlignment="1">
      <alignment horizontal="center" vertical="center" wrapText="1"/>
    </xf>
    <xf numFmtId="164" fontId="2" fillId="0" borderId="5" xfId="11" applyNumberFormat="1" applyFont="1" applyFill="1" applyBorder="1" applyAlignment="1">
      <alignment horizontal="center" vertical="center" wrapText="1"/>
    </xf>
    <xf numFmtId="164" fontId="2" fillId="0" borderId="6" xfId="11"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164" fontId="2" fillId="0" borderId="3" xfId="3" applyNumberFormat="1" applyFont="1" applyFill="1" applyBorder="1" applyAlignment="1">
      <alignment horizontal="center" vertical="center" wrapText="1"/>
    </xf>
    <xf numFmtId="164" fontId="2" fillId="0" borderId="10" xfId="3" applyNumberFormat="1" applyFont="1" applyFill="1" applyBorder="1" applyAlignment="1">
      <alignment horizontal="center" vertical="center" wrapText="1"/>
    </xf>
    <xf numFmtId="165" fontId="2" fillId="0" borderId="1" xfId="3" applyNumberFormat="1"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xf>
    <xf numFmtId="164" fontId="2" fillId="0" borderId="5" xfId="3" applyNumberFormat="1" applyFont="1" applyFill="1" applyBorder="1" applyAlignment="1">
      <alignment horizontal="center" vertical="center" wrapText="1"/>
    </xf>
    <xf numFmtId="164" fontId="2" fillId="0" borderId="6" xfId="3" applyNumberFormat="1" applyFont="1" applyFill="1" applyBorder="1" applyAlignment="1">
      <alignment horizontal="center" vertical="center"/>
    </xf>
    <xf numFmtId="166" fontId="2" fillId="0" borderId="5" xfId="3" applyNumberFormat="1" applyFont="1" applyFill="1" applyBorder="1" applyAlignment="1">
      <alignment horizontal="center" vertical="center" wrapText="1"/>
    </xf>
    <xf numFmtId="166" fontId="2" fillId="0" borderId="6" xfId="3"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0" xfId="2" applyNumberFormat="1" applyFont="1" applyFill="1" applyBorder="1" applyAlignment="1">
      <alignment horizontal="left" vertical="top" wrapText="1"/>
    </xf>
    <xf numFmtId="0" fontId="5" fillId="0" borderId="0" xfId="6" applyNumberFormat="1" applyFont="1" applyFill="1" applyBorder="1" applyAlignment="1">
      <alignment horizontal="left" vertical="center" wrapText="1" indent="3"/>
    </xf>
    <xf numFmtId="164" fontId="2" fillId="0" borderId="1" xfId="11" applyNumberFormat="1" applyFont="1" applyFill="1" applyBorder="1" applyAlignment="1">
      <alignment horizontal="center" vertical="center" wrapText="1"/>
    </xf>
    <xf numFmtId="164" fontId="2" fillId="0" borderId="6" xfId="3" applyNumberFormat="1" applyFont="1" applyFill="1" applyBorder="1" applyAlignment="1">
      <alignment horizontal="center" vertical="center" wrapText="1"/>
    </xf>
    <xf numFmtId="165" fontId="2" fillId="0" borderId="5" xfId="2" applyNumberFormat="1" applyFont="1" applyFill="1" applyBorder="1" applyAlignment="1">
      <alignment horizontal="center" vertical="center" wrapText="1"/>
    </xf>
    <xf numFmtId="165" fontId="2" fillId="0" borderId="6" xfId="2" applyNumberFormat="1" applyFont="1" applyFill="1" applyBorder="1" applyAlignment="1">
      <alignment horizontal="center" vertical="center" wrapText="1"/>
    </xf>
    <xf numFmtId="164" fontId="2" fillId="0" borderId="5" xfId="2" applyNumberFormat="1" applyFont="1" applyBorder="1" applyAlignment="1">
      <alignment horizontal="center" vertical="center"/>
    </xf>
    <xf numFmtId="164" fontId="2" fillId="0" borderId="6" xfId="2" applyNumberFormat="1" applyFont="1" applyBorder="1" applyAlignment="1">
      <alignment horizontal="center" vertical="center"/>
    </xf>
    <xf numFmtId="0" fontId="5" fillId="0" borderId="0" xfId="7" applyNumberFormat="1" applyFont="1" applyFill="1" applyBorder="1" applyAlignment="1">
      <alignment horizontal="left" vertical="top" wrapText="1" indent="2"/>
    </xf>
    <xf numFmtId="0" fontId="4" fillId="0" borderId="0" xfId="7" applyNumberFormat="1" applyFont="1" applyFill="1" applyBorder="1" applyAlignment="1">
      <alignment horizontal="left" vertical="top" wrapText="1" indent="2"/>
    </xf>
    <xf numFmtId="0" fontId="5" fillId="0" borderId="0" xfId="7" applyNumberFormat="1" applyFont="1" applyFill="1" applyBorder="1" applyAlignment="1">
      <alignment horizontal="left" vertical="top" wrapText="1"/>
    </xf>
    <xf numFmtId="164" fontId="2" fillId="0" borderId="8" xfId="3" applyNumberFormat="1"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164" fontId="2" fillId="0" borderId="0" xfId="3" applyNumberFormat="1" applyFont="1" applyFill="1" applyBorder="1" applyAlignment="1">
      <alignment horizontal="lef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64" fontId="2" fillId="0" borderId="11" xfId="3" applyNumberFormat="1" applyFont="1" applyFill="1" applyBorder="1" applyAlignment="1">
      <alignment horizontal="center" vertical="center" wrapText="1"/>
    </xf>
    <xf numFmtId="164" fontId="2" fillId="0" borderId="5" xfId="2" applyNumberFormat="1" applyFont="1" applyFill="1" applyBorder="1" applyAlignment="1">
      <alignment horizontal="center" vertical="center" wrapText="1"/>
    </xf>
    <xf numFmtId="164" fontId="2" fillId="0" borderId="6" xfId="2" applyNumberFormat="1" applyFont="1" applyFill="1" applyBorder="1" applyAlignment="1">
      <alignment horizontal="center" vertical="center" wrapText="1"/>
    </xf>
    <xf numFmtId="164" fontId="2" fillId="0" borderId="5" xfId="3" applyNumberFormat="1" applyFont="1" applyFill="1" applyBorder="1" applyAlignment="1">
      <alignment horizontal="center" vertical="center"/>
    </xf>
    <xf numFmtId="165" fontId="2" fillId="0" borderId="5" xfId="3" applyNumberFormat="1" applyFont="1" applyFill="1" applyBorder="1" applyAlignment="1">
      <alignment horizontal="center" vertical="center" wrapText="1"/>
    </xf>
    <xf numFmtId="165" fontId="2" fillId="0" borderId="6" xfId="3"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41" fontId="5" fillId="0" borderId="0" xfId="7" applyNumberFormat="1" applyFont="1" applyFill="1" applyBorder="1" applyAlignment="1">
      <alignment horizontal="center" vertical="center" wrapText="1"/>
    </xf>
    <xf numFmtId="164" fontId="2" fillId="0" borderId="6" xfId="2" applyNumberFormat="1" applyFont="1" applyFill="1" applyBorder="1" applyAlignment="1">
      <alignment horizontal="center" vertical="center"/>
    </xf>
    <xf numFmtId="164" fontId="2" fillId="0" borderId="1" xfId="2" applyNumberFormat="1" applyFont="1" applyFill="1" applyBorder="1" applyAlignment="1">
      <alignment horizontal="center" vertical="center"/>
    </xf>
    <xf numFmtId="166" fontId="2" fillId="0" borderId="1" xfId="3" applyNumberFormat="1" applyFont="1" applyFill="1" applyBorder="1" applyAlignment="1">
      <alignment horizontal="center" vertical="center" wrapText="1"/>
    </xf>
    <xf numFmtId="164" fontId="2" fillId="0" borderId="8" xfId="2" applyNumberFormat="1" applyFont="1" applyFill="1" applyBorder="1" applyAlignment="1">
      <alignment horizontal="center" vertical="center" wrapText="1"/>
    </xf>
    <xf numFmtId="164" fontId="2" fillId="0" borderId="3" xfId="2" applyNumberFormat="1" applyFont="1" applyFill="1" applyBorder="1" applyAlignment="1">
      <alignment horizontal="center" vertical="center" wrapText="1"/>
    </xf>
    <xf numFmtId="164" fontId="2" fillId="0" borderId="10" xfId="2" applyNumberFormat="1" applyFont="1" applyFill="1" applyBorder="1" applyAlignment="1">
      <alignment horizontal="center" vertical="center" wrapText="1"/>
    </xf>
    <xf numFmtId="164" fontId="2" fillId="0" borderId="11" xfId="2" applyNumberFormat="1" applyFont="1" applyFill="1" applyBorder="1" applyAlignment="1">
      <alignment horizontal="center" vertical="center"/>
    </xf>
    <xf numFmtId="0" fontId="2" fillId="0" borderId="0" xfId="0" applyFont="1" applyFill="1" applyBorder="1" applyAlignment="1">
      <alignment horizontal="left" vertical="center" wrapText="1"/>
    </xf>
    <xf numFmtId="41" fontId="2" fillId="0" borderId="0" xfId="0" applyNumberFormat="1" applyFont="1" applyFill="1" applyBorder="1" applyAlignment="1">
      <alignment horizontal="center" vertical="top"/>
    </xf>
    <xf numFmtId="0" fontId="9" fillId="0" borderId="0" xfId="0" applyNumberFormat="1" applyFont="1" applyFill="1" applyAlignment="1">
      <alignment horizontal="left" vertical="top" wrapText="1"/>
    </xf>
    <xf numFmtId="164" fontId="2" fillId="0" borderId="13" xfId="2" applyNumberFormat="1" applyFont="1" applyFill="1" applyBorder="1" applyAlignment="1">
      <alignment horizontal="center" vertical="center" wrapText="1"/>
    </xf>
    <xf numFmtId="164" fontId="2" fillId="0" borderId="14" xfId="2" applyNumberFormat="1" applyFont="1" applyFill="1" applyBorder="1" applyAlignment="1">
      <alignment horizontal="center" vertical="center" wrapText="1"/>
    </xf>
    <xf numFmtId="164" fontId="2" fillId="0" borderId="11" xfId="2" applyNumberFormat="1" applyFont="1" applyFill="1" applyBorder="1" applyAlignment="1">
      <alignment horizontal="center" vertical="center" wrapText="1"/>
    </xf>
    <xf numFmtId="165" fontId="2" fillId="0" borderId="1" xfId="2" applyNumberFormat="1"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2" fillId="0" borderId="8" xfId="2" applyNumberFormat="1" applyFont="1" applyFill="1" applyBorder="1" applyAlignment="1">
      <alignment horizontal="center" vertical="center" wrapText="1"/>
    </xf>
    <xf numFmtId="165" fontId="2" fillId="0" borderId="3" xfId="2" applyNumberFormat="1" applyFont="1" applyFill="1" applyBorder="1" applyAlignment="1">
      <alignment horizontal="center" vertical="center" wrapText="1"/>
    </xf>
    <xf numFmtId="165" fontId="2" fillId="0" borderId="9" xfId="2"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0" xfId="0" applyFont="1" applyFill="1" applyAlignment="1">
      <alignment horizontal="left" vertical="top" wrapText="1"/>
    </xf>
    <xf numFmtId="164" fontId="9" fillId="0" borderId="0" xfId="3" applyNumberFormat="1" applyFont="1" applyFill="1" applyAlignment="1">
      <alignment horizontal="left" vertical="top" wrapText="1"/>
    </xf>
    <xf numFmtId="164" fontId="2" fillId="0" borderId="0" xfId="2" applyNumberFormat="1" applyFont="1" applyFill="1" applyBorder="1" applyAlignment="1">
      <alignment vertical="top" wrapText="1"/>
    </xf>
    <xf numFmtId="164" fontId="9" fillId="0" borderId="0" xfId="3" applyNumberFormat="1" applyFont="1" applyFill="1" applyBorder="1" applyAlignment="1">
      <alignment horizontal="left" vertical="top" wrapText="1"/>
    </xf>
    <xf numFmtId="164" fontId="5" fillId="0" borderId="0" xfId="3" applyNumberFormat="1" applyFont="1" applyFill="1" applyBorder="1" applyAlignment="1">
      <alignment horizontal="left"/>
    </xf>
    <xf numFmtId="164" fontId="9" fillId="0" borderId="0" xfId="3" applyNumberFormat="1" applyFont="1" applyFill="1" applyBorder="1" applyAlignment="1">
      <alignment horizontal="left" wrapText="1"/>
    </xf>
    <xf numFmtId="164" fontId="5" fillId="0" borderId="0" xfId="3" applyNumberFormat="1" applyFont="1" applyFill="1" applyBorder="1" applyAlignment="1">
      <alignment horizontal="left" vertical="top"/>
    </xf>
    <xf numFmtId="164" fontId="2" fillId="0" borderId="0" xfId="3" applyNumberFormat="1" applyFont="1" applyFill="1" applyAlignment="1">
      <alignment horizontal="left" vertical="top" wrapText="1"/>
    </xf>
    <xf numFmtId="10" fontId="9" fillId="0" borderId="0" xfId="17" applyNumberFormat="1" applyFont="1" applyFill="1" applyAlignment="1">
      <alignment horizontal="left" vertical="top" wrapText="1"/>
    </xf>
    <xf numFmtId="164" fontId="2" fillId="0" borderId="0" xfId="2" applyNumberFormat="1" applyFont="1" applyFill="1" applyBorder="1" applyAlignment="1">
      <alignment horizontal="left" vertical="top" wrapText="1"/>
    </xf>
    <xf numFmtId="41" fontId="9" fillId="0" borderId="0" xfId="7" applyNumberFormat="1" applyFont="1" applyFill="1" applyBorder="1" applyAlignment="1">
      <alignment horizontal="left" vertical="top" wrapText="1"/>
    </xf>
    <xf numFmtId="164" fontId="9" fillId="0" borderId="0" xfId="7" applyNumberFormat="1" applyFont="1" applyFill="1" applyBorder="1" applyAlignment="1">
      <alignment horizontal="left" vertical="top" wrapText="1"/>
    </xf>
    <xf numFmtId="164" fontId="9" fillId="0" borderId="0" xfId="2" applyNumberFormat="1" applyFont="1" applyFill="1" applyAlignment="1">
      <alignment horizontal="left" vertical="top" wrapText="1"/>
    </xf>
    <xf numFmtId="164" fontId="9" fillId="0" borderId="0" xfId="3" applyNumberFormat="1" applyFont="1" applyFill="1" applyAlignment="1">
      <alignment wrapText="1"/>
    </xf>
    <xf numFmtId="164" fontId="9" fillId="0" borderId="0" xfId="3" applyNumberFormat="1" applyFont="1" applyFill="1" applyAlignment="1">
      <alignment horizontal="left" wrapText="1"/>
    </xf>
    <xf numFmtId="164" fontId="5" fillId="0" borderId="0" xfId="3" applyNumberFormat="1" applyFont="1" applyFill="1" applyBorder="1" applyAlignment="1">
      <alignment horizontal="left" vertical="top" wrapText="1"/>
    </xf>
    <xf numFmtId="0" fontId="5" fillId="0" borderId="0" xfId="5" applyFont="1" applyFill="1" applyAlignment="1">
      <alignment horizontal="center" vertical="top"/>
    </xf>
    <xf numFmtId="164" fontId="2" fillId="0" borderId="0" xfId="2" applyNumberFormat="1" applyFont="1" applyFill="1" applyAlignment="1">
      <alignment horizontal="center" vertical="top"/>
    </xf>
    <xf numFmtId="164" fontId="2" fillId="0" borderId="0" xfId="11" applyNumberFormat="1" applyFont="1" applyFill="1" applyBorder="1" applyAlignment="1">
      <alignment horizontal="center" vertical="top"/>
    </xf>
    <xf numFmtId="0" fontId="5" fillId="0" borderId="0" xfId="5" applyFont="1" applyFill="1" applyBorder="1" applyAlignment="1">
      <alignment horizontal="left" vertical="top" wrapText="1" indent="1"/>
    </xf>
    <xf numFmtId="164" fontId="9" fillId="0" borderId="0" xfId="2" applyNumberFormat="1" applyFont="1" applyFill="1" applyBorder="1" applyAlignment="1">
      <alignment horizontal="left" vertical="top" wrapText="1"/>
    </xf>
    <xf numFmtId="164" fontId="9" fillId="0" borderId="0" xfId="6" applyNumberFormat="1" applyFont="1" applyFill="1" applyBorder="1" applyAlignment="1">
      <alignment horizontal="left" vertical="top" wrapText="1"/>
    </xf>
    <xf numFmtId="0" fontId="9" fillId="0" borderId="0" xfId="2" applyNumberFormat="1" applyFont="1" applyFill="1" applyBorder="1" applyAlignment="1">
      <alignment horizontal="left" vertical="top" wrapText="1"/>
    </xf>
    <xf numFmtId="164" fontId="9" fillId="0" borderId="0" xfId="0" applyNumberFormat="1" applyFont="1" applyFill="1" applyBorder="1" applyAlignment="1">
      <alignment horizontal="left" vertical="top" wrapText="1"/>
    </xf>
    <xf numFmtId="0" fontId="5" fillId="0" borderId="0" xfId="0" quotePrefix="1" applyFont="1" applyFill="1" applyAlignment="1">
      <alignment horizontal="right" vertical="top"/>
    </xf>
    <xf numFmtId="0" fontId="9" fillId="0" borderId="0" xfId="0" applyFont="1" applyFill="1" applyAlignment="1">
      <alignment horizontal="left" wrapText="1"/>
    </xf>
    <xf numFmtId="164" fontId="9" fillId="0" borderId="0" xfId="3" applyNumberFormat="1" applyFont="1" applyFill="1" applyBorder="1" applyAlignment="1">
      <alignment horizontal="center" vertical="top" wrapText="1"/>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164" fontId="5" fillId="0" borderId="0" xfId="2" applyNumberFormat="1" applyFont="1" applyFill="1" applyAlignment="1">
      <alignment horizontal="left" vertical="top" wrapText="1"/>
    </xf>
    <xf numFmtId="164" fontId="5" fillId="0" borderId="7" xfId="2" applyNumberFormat="1" applyFont="1" applyFill="1" applyBorder="1" applyAlignment="1">
      <alignment horizontal="center" vertical="top"/>
    </xf>
    <xf numFmtId="164" fontId="5" fillId="0" borderId="0" xfId="2" applyNumberFormat="1" applyFont="1" applyFill="1" applyBorder="1" applyAlignment="1">
      <alignment horizontal="center" vertical="top"/>
    </xf>
    <xf numFmtId="164" fontId="5" fillId="0" borderId="0" xfId="2" applyNumberFormat="1" applyFont="1" applyFill="1" applyAlignment="1">
      <alignment horizontal="center" vertical="top"/>
    </xf>
    <xf numFmtId="164" fontId="5" fillId="0" borderId="0" xfId="2" applyNumberFormat="1" applyFont="1" applyFill="1" applyAlignment="1">
      <alignment horizontal="center" vertical="top" wrapText="1"/>
    </xf>
    <xf numFmtId="164" fontId="9" fillId="0" borderId="0" xfId="2" applyNumberFormat="1" applyFont="1" applyFill="1" applyBorder="1" applyAlignment="1">
      <alignment horizontal="left" wrapText="1"/>
    </xf>
    <xf numFmtId="0" fontId="5" fillId="0" borderId="0" xfId="5" applyFont="1" applyFill="1" applyBorder="1" applyAlignment="1">
      <alignment horizontal="left" vertical="top" wrapText="1" indent="2"/>
    </xf>
    <xf numFmtId="164" fontId="9" fillId="0" borderId="0" xfId="3" applyNumberFormat="1" applyFont="1" applyFill="1" applyBorder="1" applyAlignment="1">
      <alignment horizontal="left" vertical="center" wrapText="1"/>
    </xf>
    <xf numFmtId="0" fontId="9" fillId="0" borderId="0" xfId="6" applyNumberFormat="1" applyFont="1" applyFill="1" applyBorder="1" applyAlignment="1">
      <alignment horizontal="left" vertical="top" wrapText="1"/>
    </xf>
    <xf numFmtId="0" fontId="9" fillId="0" borderId="0" xfId="7" applyNumberFormat="1" applyFont="1" applyFill="1" applyBorder="1" applyAlignment="1">
      <alignment horizontal="left" vertical="top" wrapText="1"/>
    </xf>
    <xf numFmtId="0" fontId="9" fillId="0" borderId="0" xfId="0" applyFont="1" applyFill="1" applyBorder="1" applyAlignment="1">
      <alignment horizontal="left" wrapText="1"/>
    </xf>
    <xf numFmtId="0" fontId="9" fillId="0" borderId="0" xfId="3" applyNumberFormat="1" applyFont="1" applyFill="1" applyAlignment="1">
      <alignment horizontal="left" vertical="top" wrapText="1"/>
    </xf>
    <xf numFmtId="164" fontId="9" fillId="0" borderId="0" xfId="3" applyNumberFormat="1" applyFont="1" applyFill="1" applyAlignment="1">
      <alignment horizontal="left" vertical="center" wrapText="1"/>
    </xf>
    <xf numFmtId="0" fontId="5" fillId="0" borderId="0" xfId="5" applyFont="1" applyFill="1" applyBorder="1" applyAlignment="1">
      <alignment horizontal="left" vertical="center" wrapText="1" indent="2"/>
    </xf>
    <xf numFmtId="164" fontId="5" fillId="0" borderId="0" xfId="2" applyNumberFormat="1" applyFont="1" applyFill="1" applyAlignment="1">
      <alignment horizontal="left" vertical="center"/>
    </xf>
    <xf numFmtId="164" fontId="5" fillId="0" borderId="0" xfId="8" applyNumberFormat="1" applyFont="1" applyFill="1" applyAlignment="1">
      <alignment vertical="top" wrapText="1"/>
    </xf>
    <xf numFmtId="164" fontId="5" fillId="0" borderId="0" xfId="2" applyNumberFormat="1" applyFont="1" applyFill="1" applyBorder="1" applyAlignment="1">
      <alignment horizontal="center" vertical="center"/>
    </xf>
    <xf numFmtId="41" fontId="9" fillId="0" borderId="16" xfId="0" applyNumberFormat="1" applyFont="1" applyFill="1" applyBorder="1" applyAlignment="1">
      <alignment horizontal="left" vertical="top" wrapText="1"/>
    </xf>
    <xf numFmtId="41" fontId="9" fillId="0" borderId="0" xfId="0" applyNumberFormat="1" applyFont="1" applyFill="1" applyBorder="1" applyAlignment="1">
      <alignment horizontal="left" vertical="top" wrapText="1"/>
    </xf>
    <xf numFmtId="164" fontId="9" fillId="0" borderId="0" xfId="0" applyNumberFormat="1" applyFont="1" applyFill="1" applyBorder="1" applyAlignment="1">
      <alignment horizontal="left" wrapText="1"/>
    </xf>
    <xf numFmtId="164" fontId="9" fillId="0" borderId="8" xfId="3" applyNumberFormat="1" applyFont="1" applyFill="1" applyBorder="1" applyAlignment="1">
      <alignment horizontal="center" vertical="center" wrapText="1"/>
    </xf>
    <xf numFmtId="164" fontId="9" fillId="0" borderId="3" xfId="3" applyNumberFormat="1" applyFont="1" applyFill="1" applyBorder="1" applyAlignment="1">
      <alignment horizontal="center" vertical="center" wrapText="1"/>
    </xf>
    <xf numFmtId="164" fontId="9" fillId="0" borderId="9" xfId="3" applyNumberFormat="1" applyFont="1" applyFill="1" applyBorder="1" applyAlignment="1">
      <alignment horizontal="center" vertical="center" wrapText="1"/>
    </xf>
    <xf numFmtId="164" fontId="2" fillId="0" borderId="8" xfId="3" applyNumberFormat="1" applyFont="1" applyBorder="1" applyAlignment="1">
      <alignment horizontal="center" vertical="center"/>
    </xf>
    <xf numFmtId="164" fontId="2" fillId="0" borderId="3" xfId="3" applyNumberFormat="1" applyFont="1" applyBorder="1" applyAlignment="1">
      <alignment horizontal="center" vertical="center"/>
    </xf>
    <xf numFmtId="164" fontId="2" fillId="0" borderId="9" xfId="3" applyNumberFormat="1" applyFont="1" applyBorder="1" applyAlignment="1">
      <alignment horizontal="center" vertical="center"/>
    </xf>
    <xf numFmtId="9" fontId="9" fillId="0" borderId="0" xfId="17" applyFont="1" applyFill="1" applyBorder="1" applyAlignment="1">
      <alignment horizontal="left" vertical="top" wrapText="1"/>
    </xf>
    <xf numFmtId="0" fontId="2" fillId="0" borderId="0" xfId="5" applyFont="1" applyFill="1" applyAlignment="1">
      <alignment horizontal="left" vertical="top" wrapText="1"/>
    </xf>
    <xf numFmtId="164" fontId="2" fillId="0" borderId="0" xfId="10" applyNumberFormat="1" applyFont="1" applyFill="1" applyAlignment="1">
      <alignment horizontal="left" vertical="top" wrapText="1"/>
    </xf>
    <xf numFmtId="0" fontId="5" fillId="0" borderId="0" xfId="5" applyFont="1" applyFill="1" applyAlignment="1">
      <alignment horizontal="left" vertical="top" wrapText="1"/>
    </xf>
    <xf numFmtId="164" fontId="2" fillId="0" borderId="0" xfId="2" applyNumberFormat="1" applyFont="1" applyFill="1" applyBorder="1" applyAlignment="1">
      <alignment horizontal="left" vertical="center" wrapText="1"/>
    </xf>
    <xf numFmtId="164" fontId="9" fillId="0" borderId="0" xfId="3" applyNumberFormat="1" applyFont="1" applyFill="1" applyAlignment="1">
      <alignment horizontal="center" vertical="top" wrapText="1"/>
    </xf>
    <xf numFmtId="0" fontId="9" fillId="0" borderId="0" xfId="0" applyFont="1" applyFill="1" applyBorder="1" applyAlignment="1">
      <alignment horizontal="left" vertical="top" wrapText="1"/>
    </xf>
    <xf numFmtId="0" fontId="9" fillId="0" borderId="0" xfId="3" applyNumberFormat="1" applyFont="1" applyFill="1" applyBorder="1" applyAlignment="1">
      <alignment horizontal="left" vertical="top" wrapText="1"/>
    </xf>
    <xf numFmtId="164" fontId="2" fillId="0" borderId="0" xfId="3" applyNumberFormat="1" applyFont="1" applyFill="1" applyBorder="1" applyAlignment="1">
      <alignment horizontal="left" vertical="top"/>
    </xf>
    <xf numFmtId="170" fontId="2" fillId="0" borderId="0" xfId="2" applyNumberFormat="1" applyFont="1" applyFill="1" applyBorder="1" applyAlignment="1">
      <alignment horizontal="left" vertical="top"/>
    </xf>
    <xf numFmtId="164" fontId="5" fillId="0" borderId="0" xfId="3" applyNumberFormat="1" applyFont="1" applyFill="1" applyBorder="1" applyAlignment="1">
      <alignment horizontal="left" wrapText="1"/>
    </xf>
    <xf numFmtId="0" fontId="9" fillId="0" borderId="0" xfId="5" applyFont="1" applyFill="1" applyBorder="1" applyAlignment="1">
      <alignment horizontal="left" vertical="top" wrapText="1"/>
    </xf>
  </cellXfs>
  <cellStyles count="18">
    <cellStyle name="Comma" xfId="1" builtinId="3"/>
    <cellStyle name="Comma 2" xfId="3"/>
    <cellStyle name="Comma 3" xfId="6"/>
    <cellStyle name="Comma 4" xfId="7"/>
    <cellStyle name="Comma 5" xfId="2"/>
    <cellStyle name="Comma 5 2" xfId="8"/>
    <cellStyle name="Comma 6" xfId="9"/>
    <cellStyle name="Comma 7" xfId="10"/>
    <cellStyle name="Comma 8" xfId="11"/>
    <cellStyle name="Normal" xfId="0" builtinId="0"/>
    <cellStyle name="Normal 2" xfId="4"/>
    <cellStyle name="Normal 3" xfId="12"/>
    <cellStyle name="Normal 4" xfId="13"/>
    <cellStyle name="Normal 5" xfId="5"/>
    <cellStyle name="Normal 5 2" xfId="14"/>
    <cellStyle name="Normal 5_ALL DAP-BY OP APPROVAL, BY YEAR - WITH PAP CODE-BTS-OSEC" xfId="15"/>
    <cellStyle name="Normal 6" xfId="16"/>
    <cellStyle name="Percent" xfId="1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3249931</xdr:colOff>
      <xdr:row>263</xdr:row>
      <xdr:rowOff>57150</xdr:rowOff>
    </xdr:from>
    <xdr:to>
      <xdr:col>1</xdr:col>
      <xdr:colOff>3324225</xdr:colOff>
      <xdr:row>265</xdr:row>
      <xdr:rowOff>342900</xdr:rowOff>
    </xdr:to>
    <xdr:sp macro="" textlink="">
      <xdr:nvSpPr>
        <xdr:cNvPr id="3" name="Left Brace 2"/>
        <xdr:cNvSpPr/>
      </xdr:nvSpPr>
      <xdr:spPr>
        <a:xfrm>
          <a:off x="3249931" y="90430350"/>
          <a:ext cx="74294" cy="10477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1800224</xdr:colOff>
      <xdr:row>123</xdr:row>
      <xdr:rowOff>38100</xdr:rowOff>
    </xdr:from>
    <xdr:to>
      <xdr:col>1</xdr:col>
      <xdr:colOff>1924049</xdr:colOff>
      <xdr:row>126</xdr:row>
      <xdr:rowOff>171450</xdr:rowOff>
    </xdr:to>
    <xdr:sp macro="" textlink="">
      <xdr:nvSpPr>
        <xdr:cNvPr id="2" name="Right Brace 1"/>
        <xdr:cNvSpPr/>
      </xdr:nvSpPr>
      <xdr:spPr>
        <a:xfrm>
          <a:off x="1800224" y="45900975"/>
          <a:ext cx="123825" cy="704850"/>
        </a:xfrm>
        <a:prstGeom prst="righ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endParaRPr lang="en-PH"/>
        </a:p>
      </xdr:txBody>
    </xdr:sp>
    <xdr:clientData/>
  </xdr:twoCellAnchor>
  <xdr:twoCellAnchor>
    <xdr:from>
      <xdr:col>11</xdr:col>
      <xdr:colOff>1180043</xdr:colOff>
      <xdr:row>123</xdr:row>
      <xdr:rowOff>7408</xdr:rowOff>
    </xdr:from>
    <xdr:to>
      <xdr:col>12</xdr:col>
      <xdr:colOff>179917</xdr:colOff>
      <xdr:row>126</xdr:row>
      <xdr:rowOff>169334</xdr:rowOff>
    </xdr:to>
    <xdr:sp macro="" textlink="">
      <xdr:nvSpPr>
        <xdr:cNvPr id="3" name="Right Brace 2"/>
        <xdr:cNvSpPr/>
      </xdr:nvSpPr>
      <xdr:spPr>
        <a:xfrm>
          <a:off x="10038293" y="45870283"/>
          <a:ext cx="180974" cy="733426"/>
        </a:xfrm>
        <a:prstGeom prst="righ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endParaRPr lang="en-PH"/>
        </a:p>
      </xdr:txBody>
    </xdr:sp>
    <xdr:clientData/>
  </xdr:twoCellAnchor>
  <xdr:twoCellAnchor>
    <xdr:from>
      <xdr:col>9</xdr:col>
      <xdr:colOff>57150</xdr:colOff>
      <xdr:row>412</xdr:row>
      <xdr:rowOff>38100</xdr:rowOff>
    </xdr:from>
    <xdr:to>
      <xdr:col>9</xdr:col>
      <xdr:colOff>200025</xdr:colOff>
      <xdr:row>413</xdr:row>
      <xdr:rowOff>333375</xdr:rowOff>
    </xdr:to>
    <xdr:sp macro="" textlink="">
      <xdr:nvSpPr>
        <xdr:cNvPr id="4" name="Left Brace 3"/>
        <xdr:cNvSpPr/>
      </xdr:nvSpPr>
      <xdr:spPr>
        <a:xfrm>
          <a:off x="8334375" y="157753050"/>
          <a:ext cx="0" cy="676275"/>
        </a:xfrm>
        <a:prstGeom prst="leftBrace">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p>
      </xdr:txBody>
    </xdr:sp>
    <xdr:clientData/>
  </xdr:twoCellAnchor>
  <xdr:twoCellAnchor>
    <xdr:from>
      <xdr:col>17</xdr:col>
      <xdr:colOff>800100</xdr:colOff>
      <xdr:row>2967</xdr:row>
      <xdr:rowOff>114300</xdr:rowOff>
    </xdr:from>
    <xdr:to>
      <xdr:col>18</xdr:col>
      <xdr:colOff>152400</xdr:colOff>
      <xdr:row>2987</xdr:row>
      <xdr:rowOff>142875</xdr:rowOff>
    </xdr:to>
    <xdr:sp macro="" textlink="">
      <xdr:nvSpPr>
        <xdr:cNvPr id="7" name="Right Brace 6"/>
        <xdr:cNvSpPr/>
      </xdr:nvSpPr>
      <xdr:spPr>
        <a:xfrm>
          <a:off x="12439650" y="577110225"/>
          <a:ext cx="190500" cy="3838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17</xdr:col>
      <xdr:colOff>819150</xdr:colOff>
      <xdr:row>3040</xdr:row>
      <xdr:rowOff>95250</xdr:rowOff>
    </xdr:from>
    <xdr:to>
      <xdr:col>18</xdr:col>
      <xdr:colOff>180975</xdr:colOff>
      <xdr:row>3060</xdr:row>
      <xdr:rowOff>104775</xdr:rowOff>
    </xdr:to>
    <xdr:sp macro="" textlink="">
      <xdr:nvSpPr>
        <xdr:cNvPr id="8" name="Right Brace 7"/>
        <xdr:cNvSpPr/>
      </xdr:nvSpPr>
      <xdr:spPr>
        <a:xfrm>
          <a:off x="12458700" y="590997675"/>
          <a:ext cx="200025" cy="3819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17</xdr:col>
      <xdr:colOff>761999</xdr:colOff>
      <xdr:row>3072</xdr:row>
      <xdr:rowOff>114300</xdr:rowOff>
    </xdr:from>
    <xdr:to>
      <xdr:col>18</xdr:col>
      <xdr:colOff>85724</xdr:colOff>
      <xdr:row>3083</xdr:row>
      <xdr:rowOff>152400</xdr:rowOff>
    </xdr:to>
    <xdr:sp macro="" textlink="">
      <xdr:nvSpPr>
        <xdr:cNvPr id="9" name="Right Brace 8"/>
        <xdr:cNvSpPr/>
      </xdr:nvSpPr>
      <xdr:spPr>
        <a:xfrm>
          <a:off x="12401549" y="597331800"/>
          <a:ext cx="161925" cy="2133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17</xdr:col>
      <xdr:colOff>762000</xdr:colOff>
      <xdr:row>3084</xdr:row>
      <xdr:rowOff>76200</xdr:rowOff>
    </xdr:from>
    <xdr:to>
      <xdr:col>18</xdr:col>
      <xdr:colOff>47626</xdr:colOff>
      <xdr:row>3087</xdr:row>
      <xdr:rowOff>142875</xdr:rowOff>
    </xdr:to>
    <xdr:sp macro="" textlink="">
      <xdr:nvSpPr>
        <xdr:cNvPr id="10" name="Right Brace 9"/>
        <xdr:cNvSpPr/>
      </xdr:nvSpPr>
      <xdr:spPr>
        <a:xfrm>
          <a:off x="12401550" y="599579700"/>
          <a:ext cx="123826" cy="6381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17</xdr:col>
      <xdr:colOff>928684</xdr:colOff>
      <xdr:row>2110</xdr:row>
      <xdr:rowOff>28576</xdr:rowOff>
    </xdr:from>
    <xdr:to>
      <xdr:col>18</xdr:col>
      <xdr:colOff>261934</xdr:colOff>
      <xdr:row>2132</xdr:row>
      <xdr:rowOff>171450</xdr:rowOff>
    </xdr:to>
    <xdr:sp macro="" textlink="">
      <xdr:nvSpPr>
        <xdr:cNvPr id="11" name="Right Brace 10"/>
        <xdr:cNvSpPr/>
      </xdr:nvSpPr>
      <xdr:spPr>
        <a:xfrm>
          <a:off x="12644434" y="370586795"/>
          <a:ext cx="428625" cy="433387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17</xdr:col>
      <xdr:colOff>962025</xdr:colOff>
      <xdr:row>37</xdr:row>
      <xdr:rowOff>66675</xdr:rowOff>
    </xdr:from>
    <xdr:to>
      <xdr:col>18</xdr:col>
      <xdr:colOff>28575</xdr:colOff>
      <xdr:row>38</xdr:row>
      <xdr:rowOff>209550</xdr:rowOff>
    </xdr:to>
    <xdr:sp macro="" textlink="">
      <xdr:nvSpPr>
        <xdr:cNvPr id="12" name="AutoShape 10"/>
        <xdr:cNvSpPr>
          <a:spLocks/>
        </xdr:cNvSpPr>
      </xdr:nvSpPr>
      <xdr:spPr bwMode="auto">
        <a:xfrm>
          <a:off x="13087350" y="11210925"/>
          <a:ext cx="95250" cy="523875"/>
        </a:xfrm>
        <a:prstGeom prst="rightBrace">
          <a:avLst>
            <a:gd name="adj1" fmla="val 15556"/>
            <a:gd name="adj2" fmla="val 50000"/>
          </a:avLst>
        </a:prstGeom>
        <a:noFill/>
        <a:ln w="9525">
          <a:solidFill>
            <a:srgbClr val="000000"/>
          </a:solidFill>
          <a:round/>
          <a:headEnd/>
          <a:tailEnd/>
        </a:ln>
      </xdr:spPr>
    </xdr:sp>
    <xdr:clientData/>
  </xdr:twoCellAnchor>
  <xdr:twoCellAnchor>
    <xdr:from>
      <xdr:col>17</xdr:col>
      <xdr:colOff>971550</xdr:colOff>
      <xdr:row>2819</xdr:row>
      <xdr:rowOff>66675</xdr:rowOff>
    </xdr:from>
    <xdr:to>
      <xdr:col>18</xdr:col>
      <xdr:colOff>38100</xdr:colOff>
      <xdr:row>2820</xdr:row>
      <xdr:rowOff>923925</xdr:rowOff>
    </xdr:to>
    <xdr:sp macro="" textlink="">
      <xdr:nvSpPr>
        <xdr:cNvPr id="13" name="AutoShape 9"/>
        <xdr:cNvSpPr>
          <a:spLocks/>
        </xdr:cNvSpPr>
      </xdr:nvSpPr>
      <xdr:spPr bwMode="auto">
        <a:xfrm>
          <a:off x="13096875" y="836266425"/>
          <a:ext cx="95250" cy="1809750"/>
        </a:xfrm>
        <a:prstGeom prst="rightBrace">
          <a:avLst>
            <a:gd name="adj1" fmla="val 91346"/>
            <a:gd name="adj2" fmla="val 50000"/>
          </a:avLst>
        </a:prstGeom>
        <a:noFill/>
        <a:ln w="9525">
          <a:solidFill>
            <a:srgbClr val="000000"/>
          </a:solidFill>
          <a:round/>
          <a:headEnd/>
          <a:tailEnd/>
        </a:ln>
      </xdr:spPr>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11.xml"/><Relationship Id="rId13" Type="http://schemas.openxmlformats.org/officeDocument/2006/relationships/revisionLog" Target="revisionLog12.xml"/><Relationship Id="rId18" Type="http://schemas.openxmlformats.org/officeDocument/2006/relationships/revisionLog" Target="revisionLog13.xml"/><Relationship Id="rId3" Type="http://schemas.openxmlformats.org/officeDocument/2006/relationships/revisionLog" Target="revisionLog111.xml"/><Relationship Id="rId21" Type="http://schemas.openxmlformats.org/officeDocument/2006/relationships/revisionLog" Target="revisionLog14.xml"/><Relationship Id="rId7" Type="http://schemas.openxmlformats.org/officeDocument/2006/relationships/revisionLog" Target="revisionLog121.xml"/><Relationship Id="rId12" Type="http://schemas.openxmlformats.org/officeDocument/2006/relationships/revisionLog" Target="revisionLog131.xml"/><Relationship Id="rId17" Type="http://schemas.openxmlformats.org/officeDocument/2006/relationships/revisionLog" Target="revisionLog141.xml"/><Relationship Id="rId2" Type="http://schemas.openxmlformats.org/officeDocument/2006/relationships/revisionLog" Target="revisionLog1111.xml"/><Relationship Id="rId16" Type="http://schemas.openxmlformats.org/officeDocument/2006/relationships/revisionLog" Target="revisionLog1411.xml"/><Relationship Id="rId20" Type="http://schemas.openxmlformats.org/officeDocument/2006/relationships/revisionLog" Target="revisionLog15.xml"/><Relationship Id="rId1" Type="http://schemas.openxmlformats.org/officeDocument/2006/relationships/revisionLog" Target="revisionLog11111.xml"/><Relationship Id="rId6" Type="http://schemas.openxmlformats.org/officeDocument/2006/relationships/revisionLog" Target="revisionLog1211.xml"/><Relationship Id="rId11" Type="http://schemas.openxmlformats.org/officeDocument/2006/relationships/revisionLog" Target="revisionLog1311.xml"/><Relationship Id="rId24" Type="http://schemas.openxmlformats.org/officeDocument/2006/relationships/revisionLog" Target="revisionLog1.xml"/><Relationship Id="rId5" Type="http://schemas.openxmlformats.org/officeDocument/2006/relationships/revisionLog" Target="revisionLog12111.xml"/><Relationship Id="rId15" Type="http://schemas.openxmlformats.org/officeDocument/2006/relationships/revisionLog" Target="revisionLog14111.xml"/><Relationship Id="rId23" Type="http://schemas.openxmlformats.org/officeDocument/2006/relationships/revisionLog" Target="revisionLog16.xml"/><Relationship Id="rId10" Type="http://schemas.openxmlformats.org/officeDocument/2006/relationships/revisionLog" Target="revisionLog13111.xml"/><Relationship Id="rId19" Type="http://schemas.openxmlformats.org/officeDocument/2006/relationships/revisionLog" Target="revisionLog151.xml"/><Relationship Id="rId4" Type="http://schemas.openxmlformats.org/officeDocument/2006/relationships/revisionLog" Target="revisionLog121111.xml"/><Relationship Id="rId9" Type="http://schemas.openxmlformats.org/officeDocument/2006/relationships/revisionLog" Target="revisionLog131111.xml"/><Relationship Id="rId14" Type="http://schemas.openxmlformats.org/officeDocument/2006/relationships/revisionLog" Target="revisionLog141111.xml"/><Relationship Id="rId22" Type="http://schemas.openxmlformats.org/officeDocument/2006/relationships/revisionLog" Target="revisionLog161.xml"/></Relationships>
</file>

<file path=xl/revisions/revisionHeaders.xml><?xml version="1.0" encoding="utf-8"?>
<headers xmlns="http://schemas.openxmlformats.org/spreadsheetml/2006/main" xmlns:r="http://schemas.openxmlformats.org/officeDocument/2006/relationships" guid="{F46754BE-0D10-4D59-8819-BC8B5F85F6CE}" diskRevisions="1" revisionId="819" version="11">
  <header guid="{ECDD11E2-5E4A-40BF-94E3-A7865B3D373E}" dateTime="2014-07-18T13:52:54" maxSheetId="7" userName="sabuel" r:id="rId1">
    <sheetIdMap count="6">
      <sheetId val="1"/>
      <sheetId val="2"/>
      <sheetId val="3"/>
      <sheetId val="4"/>
      <sheetId val="5"/>
      <sheetId val="6"/>
    </sheetIdMap>
  </header>
  <header guid="{C914D9C4-20CF-4EE1-A2E2-0B3DF9744F7B}" dateTime="2014-07-18T13:55:47" maxSheetId="7" userName="sabuel" r:id="rId2" minRId="1">
    <sheetIdMap count="6">
      <sheetId val="1"/>
      <sheetId val="2"/>
      <sheetId val="3"/>
      <sheetId val="4"/>
      <sheetId val="5"/>
      <sheetId val="6"/>
    </sheetIdMap>
  </header>
  <header guid="{46011F3B-3653-459A-835A-DCC74DCD96FD}" dateTime="2014-07-18T13:55:50" maxSheetId="7" userName="sabuel" r:id="rId3">
    <sheetIdMap count="6">
      <sheetId val="1"/>
      <sheetId val="2"/>
      <sheetId val="3"/>
      <sheetId val="4"/>
      <sheetId val="5"/>
      <sheetId val="6"/>
    </sheetIdMap>
  </header>
  <header guid="{2D9BC96A-03CC-4B44-AF19-DD75B52B62BA}" dateTime="2014-07-18T14:15:02" maxSheetId="7" userName="sabuel" r:id="rId4" minRId="40">
    <sheetIdMap count="6">
      <sheetId val="1"/>
      <sheetId val="2"/>
      <sheetId val="3"/>
      <sheetId val="4"/>
      <sheetId val="5"/>
      <sheetId val="6"/>
    </sheetIdMap>
  </header>
  <header guid="{ED12B914-FFB2-4A64-B08E-465D0A5689E9}" dateTime="2014-07-18T14:29:29" maxSheetId="7" userName="sabuel" r:id="rId5" minRId="60">
    <sheetIdMap count="6">
      <sheetId val="1"/>
      <sheetId val="2"/>
      <sheetId val="3"/>
      <sheetId val="4"/>
      <sheetId val="5"/>
      <sheetId val="6"/>
    </sheetIdMap>
  </header>
  <header guid="{9B97A85B-BCE4-4B01-8C33-40271C366866}" dateTime="2014-07-18T14:30:39" maxSheetId="7" userName="sabuel" r:id="rId6" minRId="80" maxRId="81">
    <sheetIdMap count="6">
      <sheetId val="1"/>
      <sheetId val="2"/>
      <sheetId val="3"/>
      <sheetId val="4"/>
      <sheetId val="5"/>
      <sheetId val="6"/>
    </sheetIdMap>
  </header>
  <header guid="{485771B7-089F-4699-8E8A-AC30C59D69CC}" dateTime="2014-07-18T14:31:44" maxSheetId="7" userName="sabuel" r:id="rId7" minRId="101" maxRId="103">
    <sheetIdMap count="6">
      <sheetId val="1"/>
      <sheetId val="2"/>
      <sheetId val="3"/>
      <sheetId val="4"/>
      <sheetId val="5"/>
      <sheetId val="6"/>
    </sheetIdMap>
  </header>
  <header guid="{0E3BCCEC-7E5F-4060-A9D8-F82A0A371A79}" dateTime="2014-07-18T14:32:53" maxSheetId="7" userName="sabuel" r:id="rId8">
    <sheetIdMap count="6">
      <sheetId val="1"/>
      <sheetId val="2"/>
      <sheetId val="3"/>
      <sheetId val="4"/>
      <sheetId val="5"/>
      <sheetId val="6"/>
    </sheetIdMap>
  </header>
  <header guid="{5CBA1FC4-B19E-4BC4-A5D5-F3830F656837}" dateTime="2014-07-21T08:57:14" maxSheetId="7" userName="mmarasigan" r:id="rId9" minRId="142" maxRId="177">
    <sheetIdMap count="6">
      <sheetId val="1"/>
      <sheetId val="2"/>
      <sheetId val="3"/>
      <sheetId val="4"/>
      <sheetId val="5"/>
      <sheetId val="6"/>
    </sheetIdMap>
  </header>
  <header guid="{0C6C3D1C-553E-4261-97D3-6ADABE8990F2}" dateTime="2014-07-21T10:01:51" maxSheetId="7" userName="mmarasigan" r:id="rId10" minRId="198" maxRId="463">
    <sheetIdMap count="6">
      <sheetId val="1"/>
      <sheetId val="2"/>
      <sheetId val="3"/>
      <sheetId val="4"/>
      <sheetId val="5"/>
      <sheetId val="6"/>
    </sheetIdMap>
  </header>
  <header guid="{ADD43B14-E84F-48B9-999F-759F763D693A}" dateTime="2014-07-21T10:02:03" maxSheetId="7" userName="mmarasigan" r:id="rId11">
    <sheetIdMap count="6">
      <sheetId val="1"/>
      <sheetId val="2"/>
      <sheetId val="3"/>
      <sheetId val="4"/>
      <sheetId val="5"/>
      <sheetId val="6"/>
    </sheetIdMap>
  </header>
  <header guid="{835F91E9-F6D4-4655-8B24-C76133EE42B0}" dateTime="2014-07-21T12:59:39" maxSheetId="7" userName="mmarasigan" r:id="rId12" minRId="504" maxRId="513">
    <sheetIdMap count="6">
      <sheetId val="1"/>
      <sheetId val="2"/>
      <sheetId val="3"/>
      <sheetId val="4"/>
      <sheetId val="5"/>
      <sheetId val="6"/>
    </sheetIdMap>
  </header>
  <header guid="{508DD4D2-ABCC-4F2F-8489-7EDBD22FCA05}" dateTime="2014-07-21T13:03:40" maxSheetId="7" userName="mmarasigan" r:id="rId13">
    <sheetIdMap count="6">
      <sheetId val="1"/>
      <sheetId val="2"/>
      <sheetId val="3"/>
      <sheetId val="4"/>
      <sheetId val="5"/>
      <sheetId val="6"/>
    </sheetIdMap>
  </header>
  <header guid="{5D528534-5CF1-4417-AC20-4260193D0FE3}" dateTime="2014-07-21T13:40:40" maxSheetId="7" userName="mmarasigan" r:id="rId14">
    <sheetIdMap count="6">
      <sheetId val="1"/>
      <sheetId val="2"/>
      <sheetId val="3"/>
      <sheetId val="4"/>
      <sheetId val="5"/>
      <sheetId val="6"/>
    </sheetIdMap>
  </header>
  <header guid="{35DBADB0-1580-4C29-BB35-535E7D1F00BD}" dateTime="2014-07-21T15:17:49" maxSheetId="7" userName="sabuel" r:id="rId15">
    <sheetIdMap count="6">
      <sheetId val="1"/>
      <sheetId val="2"/>
      <sheetId val="3"/>
      <sheetId val="4"/>
      <sheetId val="5"/>
      <sheetId val="6"/>
    </sheetIdMap>
  </header>
  <header guid="{445FAC1D-3CE1-4EF2-B2AF-CBC1A742B723}" dateTime="2014-07-21T15:31:28" maxSheetId="7" userName="mmarasigan" r:id="rId16" minRId="593" maxRId="595">
    <sheetIdMap count="6">
      <sheetId val="1"/>
      <sheetId val="2"/>
      <sheetId val="3"/>
      <sheetId val="4"/>
      <sheetId val="5"/>
      <sheetId val="6"/>
    </sheetIdMap>
  </header>
  <header guid="{5461849D-0C19-459B-865C-73B0B3774B1F}" dateTime="2014-07-21T15:56:29" maxSheetId="7" userName="mmarasigan" r:id="rId17" minRId="616" maxRId="654">
    <sheetIdMap count="6">
      <sheetId val="1"/>
      <sheetId val="2"/>
      <sheetId val="3"/>
      <sheetId val="4"/>
      <sheetId val="5"/>
      <sheetId val="6"/>
    </sheetIdMap>
  </header>
  <header guid="{139A9E2E-B694-419F-A11F-81241EDE9585}" dateTime="2014-07-21T16:08:17" maxSheetId="7" userName="mmarasigan" r:id="rId18" minRId="675" maxRId="683">
    <sheetIdMap count="6">
      <sheetId val="1"/>
      <sheetId val="2"/>
      <sheetId val="3"/>
      <sheetId val="4"/>
      <sheetId val="5"/>
      <sheetId val="6"/>
    </sheetIdMap>
  </header>
  <header guid="{9307CF05-C6CF-41E6-AAD9-71C87FCF93C0}" dateTime="2014-07-21T16:02:04" maxSheetId="7" userName="sabuel" r:id="rId19">
    <sheetIdMap count="6">
      <sheetId val="1"/>
      <sheetId val="2"/>
      <sheetId val="3"/>
      <sheetId val="4"/>
      <sheetId val="5"/>
      <sheetId val="6"/>
    </sheetIdMap>
  </header>
  <header guid="{56475C17-EC62-429D-BFF4-E4B22F0E113A}" dateTime="2014-07-21T16:02:20" maxSheetId="7" userName="sabuel" r:id="rId20">
    <sheetIdMap count="6">
      <sheetId val="1"/>
      <sheetId val="2"/>
      <sheetId val="3"/>
      <sheetId val="4"/>
      <sheetId val="5"/>
      <sheetId val="6"/>
    </sheetIdMap>
  </header>
  <header guid="{E11244DF-116B-4A06-9BBC-DC503F21BBCA}" dateTime="2014-07-21T16:11:04" maxSheetId="7" userName="mmarasigan" r:id="rId21" minRId="742">
    <sheetIdMap count="6">
      <sheetId val="1"/>
      <sheetId val="2"/>
      <sheetId val="3"/>
      <sheetId val="4"/>
      <sheetId val="5"/>
      <sheetId val="6"/>
    </sheetIdMap>
  </header>
  <header guid="{45E8A4B3-9534-4D6A-85B3-03F799662733}" dateTime="2014-07-21T16:07:25" maxSheetId="7" userName="sabuel" r:id="rId22">
    <sheetIdMap count="6">
      <sheetId val="1"/>
      <sheetId val="2"/>
      <sheetId val="3"/>
      <sheetId val="4"/>
      <sheetId val="5"/>
      <sheetId val="6"/>
    </sheetIdMap>
  </header>
  <header guid="{456F18D6-0EBB-4A89-BB53-B04F2DC4FC41}" dateTime="2014-07-21T16:37:20" maxSheetId="7" userName="sabuel" r:id="rId23">
    <sheetIdMap count="6">
      <sheetId val="1"/>
      <sheetId val="2"/>
      <sheetId val="3"/>
      <sheetId val="4"/>
      <sheetId val="5"/>
      <sheetId val="6"/>
    </sheetIdMap>
  </header>
  <header guid="{F46754BE-0D10-4D59-8819-BC8B5F85F6CE}" dateTime="2014-07-21T16:52:43" maxSheetId="7" userName="sabuel" r:id="rId24">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'DAP5'!$A$1:$U$305</formula>
    <oldFormula>'DAP5'!$A$1:$U$305</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3'!$A$1:$V$1717</formula>
    <oldFormula>'DAP 3'!$A$1:$V$1717</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2'!$A$1:$U$120</formula>
    <oldFormula>'DAP 2'!$A$1:$U$120</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'DAP1'!$A$1:$W$2888</formula>
    <oldFormula>'DAP1'!$A$1:$W$2888</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'DAP1'!$196:$214,'DAP1'!$421:$421,'DAP1'!$2745:$2745</formula>
    <oldFormula>'DAP1'!$196:$214,'DAP1'!$421:$421,'DAP1'!$2745:$2745</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1.xml><?xml version="1.0" encoding="utf-8"?>
<revisions xmlns="http://schemas.openxmlformats.org/spreadsheetml/2006/main" xmlns:r="http://schemas.openxmlformats.org/officeDocument/2006/relationships">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'DAP5'!$A$1:$U$296</formula>
    <oldFormula>'DAP5'!$A$1:$U$296</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3'!$A$1:$V$1592</formula>
    <oldFormula>'DAP 3'!$A$1:$V$1592</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2'!$A$1:$U$118</formula>
    <oldFormula>'DAP 2'!$A$1:$U$118</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'DAP1'!$A$1:$W$2827</formula>
    <oldFormula>'DAP1'!$A$1:$W$2827</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'DAP1'!$196:$214,'DAP1'!$421:$421,'DAP1'!$2684:$2684</formula>
    <oldFormula>'DAP1'!$196:$214,'DAP1'!$421:$421,'DAP1'!$2684:$2684</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11.xml><?xml version="1.0" encoding="utf-8"?>
<revisions xmlns="http://schemas.openxmlformats.org/spreadsheetml/2006/main" xmlns:r="http://schemas.openxmlformats.org/officeDocument/2006/relationships">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'DAP5'!$A$1:$U$296</formula>
    <oldFormula>'DAP5'!$A$1:$U$296</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3'!$A$1:$V$1592</formula>
    <oldFormula>'DAP 3'!$A$1:$V$1592</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2'!$A$1:$U$118</formula>
    <oldFormula>'DAP 2'!$A$1:$U$118</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'DAP1'!$A$1:$W$2827</formula>
    <oldFormula>'DAP1'!$A$1:$W$2827</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'DAP1'!$196:$214,'DAP1'!$421:$421,'DAP1'!$2684:$2684</formula>
    <oldFormula>'DAP1'!$196:$214,'DAP1'!$421:$421,'DAP1'!$2684:$2684</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111.xml><?xml version="1.0" encoding="utf-8"?>
<revisions xmlns="http://schemas.openxmlformats.org/spreadsheetml/2006/main" xmlns:r="http://schemas.openxmlformats.org/officeDocument/2006/relationships">
  <rcc rId="1" sId="6">
    <oc r="S1529" t="inlineStr">
      <is>
        <t xml:space="preserve">All projects particularly the establishment of MRFs implementation of Ecological Solid Waste Management in Metro Manila, information, education and communication on Solid Waste Management, and inventory of commercial establishments in Metro Manila have been completed.
1. Seven (7) selected barangays in Metro </t>
      </is>
    </oc>
    <nc r="S1529" t="inlineStr">
      <is>
        <t>All projects particularly the establishment of MRFs implementation of Ecological Solid Waste Management in Metro Manila, information, education and communication on Solid Waste Management, and inventory of commercial establishments in Metro Manila have been completed.
1. Seven (7) selected barangays in Metro Manila were given support funds to establish and operate a MRF. 
2. A workshop with LGU on "How to start an Ecological Solid Waste Management System in Markets" was held on July 30-31 with LGU and their pilot public markets and associations.
3. A five-minute movie plug on solid waste management was produced MMDA entitled "Hiwalayan" and aired in selected cinemas.
4. A workshop with SWM Office and Business permits and Licensing Offices of LGUs was held on June 28, 2012 to discuss, among others, the roles of each in the implementation of the ESWM Program</t>
      </is>
    </nc>
  </rcc>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'DAP5'!$A$1:$U$296</formula>
    <oldFormula>'DAP5'!$A$1:$U$296</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3'!$A$1:$V$1592</formula>
    <oldFormula>'DAP 3'!$A$1:$V$1592</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2'!$A$1:$U$118</formula>
    <oldFormula>'DAP 2'!$A$1:$U$118</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'DAP1'!$A$1:$W$2827</formula>
    <oldFormula>'DAP1'!$A$1:$W$2827</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'DAP1'!$196:$214,'DAP1'!$421:$421,'DAP1'!$2684:$2684</formula>
    <oldFormula>'DAP1'!$196:$214,'DAP1'!$421:$421,'DAP1'!$2684:$2684</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2'!$A$1:$U$120</formula>
    <oldFormula>'DAP 2'!$A$1:$U$120</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21.xml><?xml version="1.0" encoding="utf-8"?>
<revisions xmlns="http://schemas.openxmlformats.org/spreadsheetml/2006/main" xmlns:r="http://schemas.openxmlformats.org/officeDocument/2006/relationships">
  <rcc rId="101" sId="2" numFmtId="34">
    <oc r="Q144">
      <v>1930</v>
    </oc>
    <nc r="Q144">
      <v>4000</v>
    </nc>
  </rcc>
  <rcc rId="102" sId="2" numFmtId="34">
    <oc r="R144">
      <v>1255</v>
    </oc>
    <nc r="R144">
      <v>4000</v>
    </nc>
  </rcc>
  <rcc rId="103" sId="2" odxf="1" dxf="1">
    <oc r="S144" t="inlineStr">
      <is>
        <t>65.03% accomplishment</t>
      </is>
    </oc>
    <nc r="S144" t="inlineStr">
      <is>
        <t>100% accomplishment - Repair and Rehabilitation of the 5th Cavalry Monument and the Philippine Revolutionary Monument</t>
      </is>
    </nc>
    <odxf/>
    <ndxf/>
  </rcc>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'DAP5'!$A$1:$U$296</formula>
    <oldFormula>'DAP5'!$A$1:$U$296</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3'!$A$1:$V$1592</formula>
    <oldFormula>'DAP 3'!$A$1:$V$1592</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2'!$A$1:$U$118</formula>
    <oldFormula>'DAP 2'!$A$1:$U$118</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'DAP1'!$A$1:$W$2827</formula>
    <oldFormula>'DAP1'!$A$1:$W$2827</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'DAP1'!$196:$214,'DAP1'!$421:$421,'DAP1'!$2684:$2684</formula>
    <oldFormula>'DAP1'!$196:$214,'DAP1'!$421:$421,'DAP1'!$2684:$2684</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211.xml><?xml version="1.0" encoding="utf-8"?>
<revisions xmlns="http://schemas.openxmlformats.org/spreadsheetml/2006/main" xmlns:r="http://schemas.openxmlformats.org/officeDocument/2006/relationships">
  <rcc rId="80" sId="2" odxf="1" dxf="1">
    <oc r="R280" t="inlineStr">
      <is>
        <t>No obligations yet (for bidding this month of october)</t>
      </is>
    </oc>
    <nc r="R280" t="inlineStr">
      <is>
        <t>No disbursement yet</t>
      </is>
    </nc>
    <odxf/>
    <ndxf/>
  </rcc>
  <rfmt sheetId="2" sqref="S280" start="0" length="0">
    <dxf/>
  </rfmt>
  <rcc rId="81" sId="2">
    <oc r="S280" t="inlineStr">
      <is>
        <t>No actual output yet (for bidding this month of october)</t>
      </is>
    </oc>
    <nc r="S280" t="inlineStr">
      <is>
        <t>8,331,739 scanned images (11.80%) from Strategic Implementation Agency Pilot (SIAP) Committee Member Agencies: NAP, Senate, DOST-ASTI, ICTO, PMS, OP</t>
      </is>
    </nc>
  </rcc>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'DAP5'!$A$1:$U$296</formula>
    <oldFormula>'DAP5'!$A$1:$U$296</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3'!$A$1:$V$1592</formula>
    <oldFormula>'DAP 3'!$A$1:$V$1592</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2'!$A$1:$U$118</formula>
    <oldFormula>'DAP 2'!$A$1:$U$118</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'DAP1'!$A$1:$W$2827</formula>
    <oldFormula>'DAP1'!$A$1:$W$2827</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'DAP1'!$196:$214,'DAP1'!$421:$421,'DAP1'!$2684:$2684</formula>
    <oldFormula>'DAP1'!$196:$214,'DAP1'!$421:$421,'DAP1'!$2684:$2684</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2111.xml><?xml version="1.0" encoding="utf-8"?>
<revisions xmlns="http://schemas.openxmlformats.org/spreadsheetml/2006/main" xmlns:r="http://schemas.openxmlformats.org/officeDocument/2006/relationships">
  <rcc rId="60" sId="2" numFmtId="34">
    <oc r="Q280" t="inlineStr">
      <is>
        <t>No obligations yet (for bidding this month of october)</t>
      </is>
    </oc>
    <nc r="Q280">
      <v>47930</v>
    </nc>
  </rcc>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'DAP5'!$A$1:$U$296</formula>
    <oldFormula>'DAP5'!$A$1:$U$296</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3'!$A$1:$V$1592</formula>
    <oldFormula>'DAP 3'!$A$1:$V$1592</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2'!$A$1:$U$118</formula>
    <oldFormula>'DAP 2'!$A$1:$U$118</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'DAP1'!$A$1:$W$2827</formula>
    <oldFormula>'DAP1'!$A$1:$W$2827</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'DAP1'!$196:$214,'DAP1'!$421:$421,'DAP1'!$2684:$2684</formula>
    <oldFormula>'DAP1'!$196:$214,'DAP1'!$421:$421,'DAP1'!$2684:$2684</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21111.xml><?xml version="1.0" encoding="utf-8"?>
<revisions xmlns="http://schemas.openxmlformats.org/spreadsheetml/2006/main" xmlns:r="http://schemas.openxmlformats.org/officeDocument/2006/relationships">
  <rcc rId="40" sId="6" odxf="1" dxf="1">
    <oc r="B1520" t="inlineStr">
      <is>
        <t xml:space="preserve"> Purchase/printing of various books, including braille, and IT 
 equipment</t>
      </is>
    </oc>
    <nc r="B1520" t="inlineStr">
      <is>
        <t xml:space="preserve"> Purchase/printing of various books, including braille, and IT equipment</t>
      </is>
    </nc>
    <odxf/>
    <ndxf/>
  </rcc>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'DAP5'!$A$1:$U$296</formula>
    <oldFormula>'DAP5'!$A$1:$U$296</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3'!$A$1:$V$1592</formula>
    <oldFormula>'DAP 3'!$A$1:$V$1592</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2'!$A$1:$U$118</formula>
    <oldFormula>'DAP 2'!$A$1:$U$118</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'DAP1'!$A$1:$W$2827</formula>
    <oldFormula>'DAP1'!$A$1:$W$2827</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'DAP1'!$196:$214,'DAP1'!$421:$421,'DAP1'!$2684:$2684</formula>
    <oldFormula>'DAP1'!$196:$214,'DAP1'!$421:$421,'DAP1'!$2684:$2684</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3.xml><?xml version="1.0" encoding="utf-8"?>
<revisions xmlns="http://schemas.openxmlformats.org/spreadsheetml/2006/main" xmlns:r="http://schemas.openxmlformats.org/officeDocument/2006/relationships">
  <rfmt sheetId="6" s="1" sqref="E34" start="0" length="0">
    <dxf>
      <numFmt numFmtId="0" formatCode="General"/>
      <fill>
        <patternFill patternType="solid">
          <bgColor theme="0" tint="-0.14999847407452621"/>
        </patternFill>
      </fill>
    </dxf>
  </rfmt>
  <rcc rId="675" sId="6" odxf="1" s="1" dxf="1">
    <oc r="F34" t="inlineStr">
      <is>
        <t>For Financial Assistance to LGUs as NG counterpart for the premium contribution of indigent enrolled in the NHIP</t>
      </is>
    </oc>
    <nc r="F34" t="inlineStr">
      <is>
        <t>For Financial Assistance to LGUs as NG counterpart for the premium contributions of indigent enrolled in the NHIP in accordance with the premium sharing scheme between the NG and the LGU.</t>
      </is>
    </nc>
    <odxf>
      <font>
        <b val="0"/>
        <i val="0"/>
        <strike val="0"/>
        <condense val="0"/>
        <extend val="0"/>
        <outline val="0"/>
        <shadow val="0"/>
        <u val="none"/>
        <vertAlign val="baseline"/>
        <sz val="11"/>
        <color auto="1"/>
        <name val="Calibri"/>
        <scheme val="none"/>
      </font>
      <numFmt numFmtId="164" formatCode="_(* #,##0_);_(* \(#,##0\);_(* &quot;-&quot;??_);_(@_)"/>
      <fill>
        <patternFill patternType="none">
          <fgColor indexed="64"/>
          <bgColor indexed="65"/>
        </patternFill>
      </fill>
      <alignment horizontal="general" vertical="top" textRotation="0" wrapText="1" indent="0" relativeIndent="0" justifyLastLine="0" shrinkToFit="0" mergeCell="0" readingOrder="0"/>
    </odxf>
    <ndxf>
      <font>
        <sz val="11"/>
        <color rgb="FFFF0000"/>
        <name val="Calibri"/>
        <scheme val="none"/>
      </font>
      <numFmt numFmtId="0" formatCode="General"/>
      <fill>
        <patternFill patternType="solid">
          <bgColor theme="0" tint="-0.14999847407452621"/>
        </patternFill>
      </fill>
      <alignment horizontal="left" readingOrder="0"/>
    </ndxf>
  </rcc>
  <rfmt sheetId="6" sqref="E34:F34" start="0" length="2147483647">
    <dxf>
      <font>
        <color auto="1"/>
      </font>
    </dxf>
  </rfmt>
  <rfmt sheetId="6" sqref="E34:F34">
    <dxf>
      <fill>
        <patternFill patternType="none">
          <bgColor auto="1"/>
        </patternFill>
      </fill>
    </dxf>
  </rfmt>
  <rcc rId="676" sId="6" odxf="1" dxf="1">
    <oc r="E2873" t="inlineStr">
      <is>
        <t xml:space="preserve">A.I.a.1 </t>
      </is>
    </oc>
    <nc r="E2873" t="inlineStr">
      <is>
        <t xml:space="preserve">A.I </t>
      </is>
    </nc>
    <odxf>
      <fill>
        <patternFill patternType="none">
          <bgColor indexed="65"/>
        </patternFill>
      </fill>
    </odxf>
    <ndxf>
      <fill>
        <patternFill patternType="solid">
          <bgColor theme="0" tint="-0.14999847407452621"/>
        </patternFill>
      </fill>
    </ndxf>
  </rcc>
  <rcc rId="677" sId="6" odxf="1" s="1" dxf="1">
    <oc r="F2873" t="inlineStr">
      <is>
        <t>Assistance to indigent patients suffering from Heart Diseases</t>
      </is>
    </oc>
    <nc r="F2873" t="inlineStr">
      <is>
        <t>Rest of Budgetary Support to GOCCs subject to Section 35, Book 6 of EO No. 292 and letter of implementation No. 29</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outline="0">
        <left/>
        <right/>
        <top/>
        <bottom/>
      </border>
      <protection locked="1" hidden="0"/>
    </odxf>
    <ndxf>
      <fill>
        <patternFill patternType="solid">
          <bgColor theme="0" tint="-0.14999847407452621"/>
        </patternFill>
      </fill>
      <alignment horizontal="left" readingOrder="0"/>
    </ndxf>
  </rcc>
  <rfmt sheetId="6" sqref="E2873:F2873" start="0" length="2147483647">
    <dxf>
      <font/>
    </dxf>
  </rfmt>
  <rfmt sheetId="6" sqref="E2873:F2873">
    <dxf>
      <fill>
        <patternFill patternType="none">
          <bgColor auto="1"/>
        </patternFill>
      </fill>
    </dxf>
  </rfmt>
  <rcc rId="678" sId="6" odxf="1" dxf="1">
    <oc r="E118" t="inlineStr">
      <is>
        <t xml:space="preserve">A.I.a </t>
      </is>
    </oc>
    <nc r="E118" t="inlineStr">
      <is>
        <t>A.II 
A.II.a</t>
      </is>
    </nc>
    <odxf>
      <font>
        <sz val="11"/>
        <color rgb="FFFF0000"/>
        <name val="Calibri"/>
        <scheme val="none"/>
      </font>
      <fill>
        <patternFill patternType="none">
          <bgColor indexed="65"/>
        </patternFill>
      </fill>
    </odxf>
    <ndxf>
      <font>
        <sz val="11"/>
        <color rgb="FFFF0000"/>
        <name val="Calibri"/>
        <scheme val="none"/>
      </font>
      <fill>
        <patternFill patternType="solid">
          <bgColor theme="0" tint="-0.14999847407452621"/>
        </patternFill>
      </fill>
    </ndxf>
  </rcc>
  <rcc rId="679" sId="6" odxf="1" s="1" dxf="1">
    <oc r="F118" t="inlineStr">
      <is>
        <t>General Adminstration and Support Services</t>
      </is>
    </oc>
    <nc r="F118" t="inlineStr">
      <is>
        <t>Operations
For the Operational Requirements of the Film Development Council of the Philippines pursuant to Ra 9167</t>
      </is>
    </nc>
    <odxf>
      <font>
        <b val="0"/>
        <i val="0"/>
        <strike val="0"/>
        <condense val="0"/>
        <extend val="0"/>
        <outline val="0"/>
        <shadow val="0"/>
        <u val="none"/>
        <vertAlign val="baseline"/>
        <sz val="11"/>
        <color rgb="FFFF0000"/>
        <name val="Calibri"/>
        <scheme val="none"/>
      </font>
      <numFmt numFmtId="164" formatCode="_(* #,##0_);_(* \(#,##0\);_(* &quot;-&quot;??_);_(@_)"/>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odxf>
    <ndxf>
      <font>
        <sz val="11"/>
        <color auto="1"/>
        <name val="Calibri"/>
        <scheme val="minor"/>
      </font>
      <numFmt numFmtId="0" formatCode="General"/>
      <fill>
        <patternFill patternType="solid">
          <bgColor theme="0" tint="-0.14999847407452621"/>
        </patternFill>
      </fill>
      <alignment horizontal="general" readingOrder="0"/>
    </ndxf>
  </rcc>
  <rfmt sheetId="6" sqref="E118:F118">
    <dxf>
      <fill>
        <patternFill patternType="none">
          <bgColor auto="1"/>
        </patternFill>
      </fill>
    </dxf>
  </rfmt>
  <rcc rId="680" sId="6" odxf="1" dxf="1">
    <oc r="E119" t="inlineStr">
      <is>
        <t xml:space="preserve">A.I.a </t>
      </is>
    </oc>
    <nc r="E119" t="inlineStr">
      <is>
        <t>A.II 
A.II.a</t>
      </is>
    </nc>
    <odxf>
      <fill>
        <patternFill patternType="none">
          <bgColor indexed="65"/>
        </patternFill>
      </fill>
      <alignment wrapText="0" readingOrder="0"/>
    </odxf>
    <ndxf>
      <fill>
        <patternFill patternType="solid">
          <bgColor theme="0" tint="-0.14999847407452621"/>
        </patternFill>
      </fill>
      <alignment wrapText="1" readingOrder="0"/>
    </ndxf>
  </rcc>
  <rcc rId="681" sId="6" odxf="1" s="1" dxf="1">
    <oc r="F119" t="inlineStr">
      <is>
        <t>General Adminstration and Support Services</t>
      </is>
    </oc>
    <nc r="F119" t="inlineStr">
      <is>
        <t>Operations
For the Operational Requirements of the Film Development Council of the Philippines pursuant to Ra 9167</t>
      </is>
    </nc>
    <odxf>
      <font>
        <b val="0"/>
        <i val="0"/>
        <strike val="0"/>
        <condense val="0"/>
        <extend val="0"/>
        <outline val="0"/>
        <shadow val="0"/>
        <u val="none"/>
        <vertAlign val="baseline"/>
        <sz val="11"/>
        <color auto="1"/>
        <name val="Calibri"/>
        <scheme val="none"/>
      </font>
      <numFmt numFmtId="164" formatCode="_(* #,##0_);_(* \(#,##0\);_(* &quot;-&quot;??_);_(@_)"/>
      <fill>
        <patternFill patternType="none">
          <fgColor indexed="64"/>
          <bgColor indexed="65"/>
        </patternFill>
      </fill>
      <alignment horizontal="general" vertical="top" textRotation="0" wrapText="1" indent="0" relativeIndent="0" justifyLastLine="0" shrinkToFit="0" mergeCell="0" readingOrder="0"/>
    </odxf>
    <ndxf>
      <font>
        <sz val="11"/>
        <color auto="1"/>
        <name val="Calibri"/>
        <scheme val="minor"/>
      </font>
      <numFmt numFmtId="0" formatCode="General"/>
      <fill>
        <patternFill patternType="solid">
          <bgColor theme="0" tint="-0.14999847407452621"/>
        </patternFill>
      </fill>
    </ndxf>
  </rcc>
  <rfmt sheetId="6" sqref="E119:F119">
    <dxf>
      <fill>
        <patternFill patternType="none">
          <bgColor auto="1"/>
        </patternFill>
      </fill>
    </dxf>
  </rfmt>
  <rcc rId="682" sId="6" odxf="1" dxf="1">
    <oc r="E1938" t="inlineStr">
      <is>
        <t xml:space="preserve">B.I.a </t>
      </is>
    </oc>
    <nc r="E1938" t="inlineStr">
      <is>
        <t xml:space="preserve">A.III.a </t>
      </is>
    </nc>
    <odxf>
      <font>
        <sz val="11"/>
        <name val="Calibri"/>
        <scheme val="none"/>
      </font>
    </odxf>
    <ndxf>
      <font>
        <sz val="11"/>
        <color rgb="FFFF0000"/>
        <name val="Calibri"/>
        <scheme val="none"/>
      </font>
    </ndxf>
  </rcc>
  <rcc rId="683" sId="6" odxf="1" dxf="1">
    <oc r="F1938" t="inlineStr">
      <is>
        <t>Women Empowerment Program</t>
      </is>
    </oc>
    <nc r="F1938" t="inlineStr">
      <is>
        <t>Conduct of Policy Researches, Provision of Technical Services and Coordination and Monitoring Activities on Gender and Development</t>
      </is>
    </nc>
    <odxf>
      <font>
        <sz val="11"/>
        <name val="Calibri"/>
        <scheme val="none"/>
      </font>
    </odxf>
    <ndxf>
      <font>
        <sz val="11"/>
        <color rgb="FFFF0000"/>
        <name val="Calibri"/>
        <scheme val="none"/>
      </font>
    </ndxf>
  </rcc>
  <rfmt sheetId="6" sqref="E1938:F1938" start="0" length="2147483647">
    <dxf>
      <font>
        <color auto="1"/>
      </font>
    </dxf>
  </rfmt>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2'!$A$1:$U$120</formula>
    <oldFormula>'DAP 2'!$A$1:$U$120</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'DAP1'!$G:$G,'DAP1'!$J:$L,'DAP1'!$N:$N,'DAP1'!$V:$V,'DAP1'!$X:$Y</formula>
    <oldFormula>'DAP1'!$J:$L,'DAP1'!$N:$N,'DAP1'!$V:$V,'DAP1'!$X:$Y</oldFormula>
  </rdn>
  <rcv guid="{5032F846-223D-4C05-81F5-66ECC60A941D}" action="add"/>
</revisions>
</file>

<file path=xl/revisions/revisionLog131.xml><?xml version="1.0" encoding="utf-8"?>
<revisions xmlns="http://schemas.openxmlformats.org/spreadsheetml/2006/main" xmlns:r="http://schemas.openxmlformats.org/officeDocument/2006/relationships">
  <rcc rId="504" sId="5" odxf="1">
    <oc r="S21" t="inlineStr">
      <is>
        <t>1,269,598 cu.m.solid waste disposed</t>
      </is>
    </oc>
    <nc r="S21" t="inlineStr">
      <is>
        <t>Based on the amount provided, 1,341,733.75 cu.m of waste disposed at MMDA accredited sanitary landfills was paid</t>
      </is>
    </nc>
    <odxf/>
  </rcc>
  <rcc rId="505" sId="5" numFmtId="34">
    <oc r="R21">
      <v>217635</v>
    </oc>
    <nc r="R21">
      <v>230000</v>
    </nc>
  </rcc>
  <rrc rId="506" sId="5" ref="A37:XFD37" action="insertRow">
    <undo index="6" exp="area" ref3D="1" dr="$T$1:$T$1048576" dn="Z_5032F846_223D_4C05_81F5_66ECC60A941D_.wvu.Cols" sId="5"/>
    <undo index="4" exp="area" ref3D="1" dr="$N$1:$N$1048576" dn="Z_5032F846_223D_4C05_81F5_66ECC60A941D_.wvu.Cols" sId="5"/>
    <undo index="2" exp="area" ref3D="1" dr="$J$1:$L$1048576" dn="Z_5032F846_223D_4C05_81F5_66ECC60A941D_.wvu.Cols" sId="5"/>
    <undo index="1" exp="area" ref3D="1" dr="$G$1:$H$1048576" dn="Z_5032F846_223D_4C05_81F5_66ECC60A941D_.wvu.Cols" sId="5"/>
    <undo index="6" exp="area" ref3D="1" dr="$T$1:$T$1048576" dn="Z_0D143C80_1B42_417D_B6C0_C88521CF36C7_.wvu.Cols" sId="5"/>
    <undo index="4" exp="area" ref3D="1" dr="$N$1:$N$1048576" dn="Z_0D143C80_1B42_417D_B6C0_C88521CF36C7_.wvu.Cols" sId="5"/>
    <undo index="2" exp="area" ref3D="1" dr="$J$1:$L$1048576" dn="Z_0D143C80_1B42_417D_B6C0_C88521CF36C7_.wvu.Cols" sId="5"/>
    <undo index="1" exp="area" ref3D="1" dr="$G$1:$H$1048576" dn="Z_0D143C80_1B42_417D_B6C0_C88521CF36C7_.wvu.Cols" sId="5"/>
  </rrc>
  <rrc rId="507" sId="5" ref="A37:XFD37" action="insertRow">
    <undo index="6" exp="area" ref3D="1" dr="$T$1:$T$1048576" dn="Z_5032F846_223D_4C05_81F5_66ECC60A941D_.wvu.Cols" sId="5"/>
    <undo index="4" exp="area" ref3D="1" dr="$N$1:$N$1048576" dn="Z_5032F846_223D_4C05_81F5_66ECC60A941D_.wvu.Cols" sId="5"/>
    <undo index="2" exp="area" ref3D="1" dr="$J$1:$L$1048576" dn="Z_5032F846_223D_4C05_81F5_66ECC60A941D_.wvu.Cols" sId="5"/>
    <undo index="1" exp="area" ref3D="1" dr="$G$1:$H$1048576" dn="Z_5032F846_223D_4C05_81F5_66ECC60A941D_.wvu.Cols" sId="5"/>
    <undo index="6" exp="area" ref3D="1" dr="$T$1:$T$1048576" dn="Z_0D143C80_1B42_417D_B6C0_C88521CF36C7_.wvu.Cols" sId="5"/>
    <undo index="4" exp="area" ref3D="1" dr="$N$1:$N$1048576" dn="Z_0D143C80_1B42_417D_B6C0_C88521CF36C7_.wvu.Cols" sId="5"/>
    <undo index="2" exp="area" ref3D="1" dr="$J$1:$L$1048576" dn="Z_0D143C80_1B42_417D_B6C0_C88521CF36C7_.wvu.Cols" sId="5"/>
    <undo index="1" exp="area" ref3D="1" dr="$G$1:$H$1048576" dn="Z_0D143C80_1B42_417D_B6C0_C88521CF36C7_.wvu.Cols" sId="5"/>
  </rrc>
  <rcc rId="508" sId="5">
    <nc r="B37" t="inlineStr">
      <is>
        <t>of which:</t>
      </is>
    </nc>
  </rcc>
  <rcc rId="509" sId="5">
    <nc r="B38" t="inlineStr">
      <is>
        <t>MMDA</t>
      </is>
    </nc>
  </rcc>
  <rcc rId="510" sId="5" numFmtId="34">
    <nc r="M38">
      <v>154403</v>
    </nc>
  </rcc>
  <rcc rId="511" sId="5" numFmtId="34">
    <nc r="Q38">
      <v>106803</v>
    </nc>
  </rcc>
  <rcc rId="512" sId="5" numFmtId="34">
    <nc r="R38">
      <v>106803</v>
    </nc>
  </rcc>
  <rcc rId="513" sId="5">
    <nc r="S38" t="inlineStr">
      <is>
        <t>a. Supply and Installation of LED Traffic Signal Lantern Assembly including removal of Old Incandescent types signal lanterns and 38 signalized intersection - Phase 1 amounting to P38.8M
b. Widening/Riprapping along Vente Reales Creek, Vente Reales District, PHilippine Guns, Club Creek, Marulas, Valenzuela City amounting to P9.3M
c. Drainage improvement along Pearl S. Deva Village, Lower Bicutan, Balleser St.,Signal Village, Upper Bicutan, Taguig City amounting to P9.4M
d. Rehabilitation/Riprapping, Dreadging/Deepening of Estero Tripa De Gallina, Brgy. Palanan District, Makati amounting to P9.4M
e. Repair/Rehabilitation of Riprap and Construction of Covered opened canal and drainage system along bayanan and summit circle, Muntinlpa City amounting to P5.6M</t>
      </is>
    </nc>
  </rcc>
  <rfmt sheetId="5" sqref="S38">
    <dxf>
      <numFmt numFmtId="171" formatCode="&quot;$&quot;#,##0.00"/>
    </dxf>
  </rfmt>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2'!$A$1:$U$120</formula>
    <oldFormula>'DAP 2'!$A$1:$U$120</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311.xml><?xml version="1.0" encoding="utf-8"?>
<revisions xmlns="http://schemas.openxmlformats.org/spreadsheetml/2006/main" xmlns:r="http://schemas.openxmlformats.org/officeDocument/2006/relationships">
  <rfmt sheetId="2" s="1" sqref="P221" start="0" length="0">
    <dxf>
      <font>
        <sz val="11"/>
        <color auto="1"/>
        <name val="Calibri"/>
        <scheme val="none"/>
      </font>
      <numFmt numFmtId="164" formatCode="_(* #,##0_);_(* \(#,##0\);_(* &quot;-&quot;??_);_(@_)"/>
    </dxf>
  </rfmt>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2'!$A$1:$U$118</formula>
    <oldFormula>'DAP 2'!$A$1:$U$118</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3111.xml><?xml version="1.0" encoding="utf-8"?>
<revisions xmlns="http://schemas.openxmlformats.org/spreadsheetml/2006/main" xmlns:r="http://schemas.openxmlformats.org/officeDocument/2006/relationships">
  <rrc rId="198" sId="6" ref="A2454:XFD2455"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690:$XFD$2690" dn="Z_5032F846_223D_4C05_81F5_66ECC60A941D_.wvu.Rows" sId="6"/>
    <undo index="4" exp="area" ref3D="1" dr="$A$2690:$XFD$2690"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199" sId="6" odxf="1" dxf="1">
    <nc r="B2454" t="inlineStr">
      <is>
        <t xml:space="preserve">        Baybay City </t>
      </is>
    </nc>
    <odxf>
      <font>
        <color auto="1"/>
      </font>
      <fill>
        <patternFill patternType="none">
          <bgColor indexed="65"/>
        </patternFill>
      </fill>
      <alignment horizontal="left" vertical="top" wrapText="1" readingOrder="0"/>
    </odxf>
    <ndxf>
      <font>
        <sz val="11"/>
        <color theme="1"/>
        <name val="Calibri"/>
        <scheme val="minor"/>
      </font>
      <fill>
        <patternFill patternType="solid">
          <bgColor rgb="FFFF0000"/>
        </patternFill>
      </fill>
      <alignment horizontal="general" vertical="bottom" wrapText="0" readingOrder="0"/>
    </ndxf>
  </rcc>
  <rcc rId="200" sId="6" odxf="1" dxf="1">
    <nc r="B2455" t="inlineStr">
      <is>
        <t xml:space="preserve">         Tacloban City</t>
      </is>
    </nc>
    <odxf>
      <font>
        <color auto="1"/>
      </font>
      <fill>
        <patternFill patternType="none">
          <bgColor indexed="65"/>
        </patternFill>
      </fill>
      <alignment horizontal="left" vertical="top" wrapText="1" readingOrder="0"/>
    </odxf>
    <ndxf>
      <font>
        <sz val="11"/>
        <color theme="1"/>
        <name val="Calibri"/>
        <scheme val="minor"/>
      </font>
      <fill>
        <patternFill patternType="solid">
          <bgColor rgb="FFFFFF00"/>
        </patternFill>
      </fill>
      <alignment horizontal="general" vertical="bottom" wrapText="0" readingOrder="0"/>
    </ndxf>
  </rcc>
  <rfmt sheetId="6" sqref="B2454:B2455">
    <dxf>
      <fill>
        <patternFill patternType="none">
          <bgColor auto="1"/>
        </patternFill>
      </fill>
    </dxf>
  </rfmt>
  <rcc rId="201" sId="6" numFmtId="34">
    <nc r="Q2454">
      <v>2500</v>
    </nc>
  </rcc>
  <rcc rId="202" sId="6" numFmtId="34">
    <nc r="R2454">
      <v>2500</v>
    </nc>
  </rcc>
  <rcc rId="203" sId="6" numFmtId="34">
    <nc r="Q2455">
      <v>2500</v>
    </nc>
  </rcc>
  <rcc rId="204" sId="6" numFmtId="34">
    <nc r="R2455">
      <v>2500</v>
    </nc>
  </rcc>
  <rcc rId="205" sId="6" numFmtId="34">
    <oc r="Q2453">
      <v>5000</v>
    </oc>
    <nc r="Q2453">
      <f>SUM(Q2454:Q2455)</f>
    </nc>
  </rcc>
  <rcc rId="206" sId="6" numFmtId="34">
    <oc r="R2453">
      <v>5000</v>
    </oc>
    <nc r="R2453">
      <f>SUM(R2454:R2455)</f>
    </nc>
  </rcc>
  <rfmt sheetId="6" sqref="Q2453:R2453" start="0" length="0">
    <dxf>
      <border>
        <bottom style="thin">
          <color indexed="64"/>
        </bottom>
      </border>
    </dxf>
  </rfmt>
  <rrc rId="207" sId="6" ref="A2456:XFD2456"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692:$XFD$2692" dn="Z_5032F846_223D_4C05_81F5_66ECC60A941D_.wvu.Rows" sId="6"/>
    <undo index="4" exp="area" ref3D="1" dr="$A$2692:$XFD$2692"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rc rId="208" sId="6" ref="A2473:XFD2475"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693:$XFD$2693" dn="Z_5032F846_223D_4C05_81F5_66ECC60A941D_.wvu.Rows" sId="6"/>
    <undo index="4" exp="area" ref3D="1" dr="$A$2693:$XFD$2693"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209" sId="6" odxf="1" dxf="1">
    <nc r="B2473" t="inlineStr">
      <is>
        <t xml:space="preserve">        Prov of No. Samar</t>
      </is>
    </nc>
    <odxf>
      <font>
        <color auto="1"/>
      </font>
      <fill>
        <patternFill patternType="none">
          <bgColor indexed="65"/>
        </patternFill>
      </fill>
      <alignment horizontal="left" vertical="top" wrapText="1" readingOrder="0"/>
    </odxf>
    <ndxf>
      <font>
        <sz val="11"/>
        <color theme="1"/>
        <name val="Calibri"/>
        <scheme val="minor"/>
      </font>
      <fill>
        <patternFill patternType="solid">
          <bgColor rgb="FFFF0000"/>
        </patternFill>
      </fill>
      <alignment horizontal="general" vertical="bottom" wrapText="0" readingOrder="0"/>
    </ndxf>
  </rcc>
  <rcc rId="210" sId="6" odxf="1" dxf="1">
    <nc r="B2474" t="inlineStr">
      <is>
        <t xml:space="preserve">       Almagro No. Samar</t>
      </is>
    </nc>
    <odxf>
      <font>
        <color auto="1"/>
      </font>
      <fill>
        <patternFill patternType="none">
          <bgColor indexed="65"/>
        </patternFill>
      </fill>
      <alignment horizontal="left" vertical="top" wrapText="1" readingOrder="0"/>
    </odxf>
    <ndxf>
      <font>
        <sz val="11"/>
        <color theme="1"/>
        <name val="Calibri"/>
        <scheme val="minor"/>
      </font>
      <fill>
        <patternFill patternType="solid">
          <bgColor rgb="FFFF0000"/>
        </patternFill>
      </fill>
      <alignment horizontal="general" vertical="bottom" wrapText="0" readingOrder="0"/>
    </ndxf>
  </rcc>
  <rcc rId="211" sId="6" odxf="1" dxf="1">
    <nc r="B2475" t="inlineStr">
      <is>
        <t xml:space="preserve">       Prov of Biliran</t>
      </is>
    </nc>
    <odxf>
      <font>
        <color auto="1"/>
      </font>
      <fill>
        <patternFill patternType="none">
          <bgColor indexed="65"/>
        </patternFill>
      </fill>
      <alignment horizontal="left" vertical="top" wrapText="1" readingOrder="0"/>
    </odxf>
    <ndxf>
      <font>
        <sz val="11"/>
        <color theme="1"/>
        <name val="Calibri"/>
        <scheme val="minor"/>
      </font>
      <fill>
        <patternFill patternType="solid">
          <bgColor rgb="FFFF0000"/>
        </patternFill>
      </fill>
      <alignment horizontal="general" vertical="bottom" wrapText="0" readingOrder="0"/>
    </ndxf>
  </rcc>
  <rfmt sheetId="6" sqref="B2473:B2475">
    <dxf>
      <fill>
        <patternFill patternType="none">
          <bgColor auto="1"/>
        </patternFill>
      </fill>
    </dxf>
  </rfmt>
  <rfmt sheetId="6" sqref="Q2472" start="0" length="0">
    <dxf>
      <border outline="0">
        <bottom style="thin">
          <color indexed="64"/>
        </bottom>
      </border>
    </dxf>
  </rfmt>
  <rfmt sheetId="6" sqref="R2472" start="0" length="0">
    <dxf>
      <border outline="0">
        <bottom style="thin">
          <color indexed="64"/>
        </bottom>
      </border>
    </dxf>
  </rfmt>
  <rrc rId="212" sId="6" ref="A2476:XFD2476"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696:$XFD$2696" dn="Z_5032F846_223D_4C05_81F5_66ECC60A941D_.wvu.Rows" sId="6"/>
    <undo index="4" exp="area" ref3D="1" dr="$A$2696:$XFD$2696"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rc rId="213" sId="6" ref="A2571:XFD2573"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697:$XFD$2697" dn="Z_5032F846_223D_4C05_81F5_66ECC60A941D_.wvu.Rows" sId="6"/>
    <undo index="4" exp="area" ref3D="1" dr="$A$2697:$XFD$2697"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214" sId="6" odxf="1" dxf="1">
    <nc r="B2571" t="inlineStr">
      <is>
        <t xml:space="preserve">    Abuyog, Leyte</t>
      </is>
    </nc>
    <odxf>
      <font>
        <color auto="1"/>
      </font>
      <fill>
        <patternFill patternType="none">
          <bgColor indexed="65"/>
        </patternFill>
      </fill>
      <alignment wrapText="1" indent="2" relativeIndent="0" readingOrder="0"/>
    </odxf>
    <ndxf>
      <font>
        <sz val="10"/>
        <color auto="1"/>
        <name val="Arial"/>
        <scheme val="none"/>
      </font>
      <fill>
        <patternFill patternType="solid">
          <bgColor rgb="FFFF0000"/>
        </patternFill>
      </fill>
      <alignment wrapText="0" indent="0" relativeIndent="0" readingOrder="0"/>
    </ndxf>
  </rcc>
  <rcc rId="215" sId="6" odxf="1" dxf="1">
    <nc r="B2572" t="inlineStr">
      <is>
        <t xml:space="preserve">    Alangalang, Leyte</t>
      </is>
    </nc>
    <odxf>
      <font>
        <color auto="1"/>
      </font>
      <fill>
        <patternFill patternType="none">
          <bgColor indexed="65"/>
        </patternFill>
      </fill>
      <alignment wrapText="1" indent="2" relativeIndent="0" readingOrder="0"/>
    </odxf>
    <ndxf>
      <font>
        <sz val="10"/>
        <color auto="1"/>
        <name val="Arial"/>
        <scheme val="none"/>
      </font>
      <fill>
        <patternFill patternType="solid">
          <bgColor rgb="FFFF0000"/>
        </patternFill>
      </fill>
      <alignment wrapText="0" indent="0" relativeIndent="0" readingOrder="0"/>
    </ndxf>
  </rcc>
  <rcc rId="216" sId="6" odxf="1" dxf="1">
    <nc r="B2573" t="inlineStr">
      <is>
        <t xml:space="preserve">    Catbalogan City, Samar</t>
      </is>
    </nc>
    <odxf>
      <font>
        <color auto="1"/>
      </font>
      <fill>
        <patternFill patternType="none">
          <bgColor indexed="65"/>
        </patternFill>
      </fill>
      <alignment wrapText="1" indent="2" relativeIndent="0" readingOrder="0"/>
    </odxf>
    <ndxf>
      <font>
        <sz val="10"/>
        <color auto="1"/>
        <name val="Arial"/>
        <scheme val="none"/>
      </font>
      <fill>
        <patternFill patternType="solid">
          <bgColor rgb="FFFF0000"/>
        </patternFill>
      </fill>
      <alignment wrapText="0" indent="0" relativeIndent="0" readingOrder="0"/>
    </ndxf>
  </rcc>
  <rfmt sheetId="6" sqref="B2571:B2573">
    <dxf>
      <fill>
        <patternFill patternType="none">
          <bgColor auto="1"/>
        </patternFill>
      </fill>
    </dxf>
  </rfmt>
  <rfmt sheetId="6" sqref="Q2570:R2570" start="0" length="0">
    <dxf>
      <border>
        <bottom style="thin">
          <color indexed="64"/>
        </bottom>
      </border>
    </dxf>
  </rfmt>
  <rrc rId="217" sId="6" ref="A2574:XFD2574"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700:$XFD$2700" dn="Z_5032F846_223D_4C05_81F5_66ECC60A941D_.wvu.Rows" sId="6"/>
    <undo index="4" exp="area" ref3D="1" dr="$A$2700:$XFD$2700"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rc rId="218" sId="6" ref="A889:XFD900"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701:$XFD$2701" dn="Z_5032F846_223D_4C05_81F5_66ECC60A941D_.wvu.Rows" sId="6"/>
    <undo index="4" exp="area" ref3D="1" dr="$A$2101:$XFD$2107" dn="Z_5032F846_223D_4C05_81F5_66ECC60A941D_.wvu.Rows" sId="6"/>
    <undo index="4" exp="area" ref3D="1" dr="$A$2701:$XFD$2701"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219" sId="6" odxf="1" dxf="1">
    <nc r="B889" t="inlineStr">
      <is>
        <t xml:space="preserve">      Almeria, Biliran</t>
      </is>
    </nc>
    <odxf>
      <font>
        <color auto="1"/>
      </font>
      <fill>
        <patternFill patternType="none">
          <bgColor indexed="65"/>
        </patternFill>
      </fill>
      <alignment wrapText="1" readingOrder="0"/>
    </odxf>
    <ndxf>
      <font>
        <sz val="10"/>
        <color auto="1"/>
        <name val="Arial"/>
        <scheme val="none"/>
      </font>
      <fill>
        <patternFill patternType="solid">
          <bgColor theme="0"/>
        </patternFill>
      </fill>
      <alignment wrapText="0" readingOrder="0"/>
    </ndxf>
  </rcc>
  <rcc rId="220" sId="6" odxf="1" dxf="1">
    <nc r="B890" t="inlineStr">
      <is>
        <t xml:space="preserve">      Biliran, Biliran</t>
      </is>
    </nc>
    <odxf>
      <font>
        <color auto="1"/>
      </font>
      <fill>
        <patternFill patternType="none">
          <bgColor indexed="65"/>
        </patternFill>
      </fill>
      <alignment wrapText="1" readingOrder="0"/>
    </odxf>
    <ndxf>
      <font>
        <sz val="10"/>
        <color auto="1"/>
        <name val="Arial"/>
        <scheme val="none"/>
      </font>
      <fill>
        <patternFill patternType="solid">
          <bgColor theme="0"/>
        </patternFill>
      </fill>
      <alignment wrapText="0" readingOrder="0"/>
    </ndxf>
  </rcc>
  <rcc rId="221" sId="6" odxf="1" dxf="1">
    <nc r="B891" t="inlineStr">
      <is>
        <t xml:space="preserve">      Naval, Biliran</t>
      </is>
    </nc>
    <odxf>
      <font>
        <color auto="1"/>
      </font>
      <fill>
        <patternFill patternType="none">
          <bgColor indexed="65"/>
        </patternFill>
      </fill>
      <alignment wrapText="1" readingOrder="0"/>
    </odxf>
    <ndxf>
      <font>
        <sz val="10"/>
        <color auto="1"/>
        <name val="Arial"/>
        <scheme val="none"/>
      </font>
      <fill>
        <patternFill patternType="solid">
          <bgColor rgb="FFFF0000"/>
        </patternFill>
      </fill>
      <alignment wrapText="0" readingOrder="0"/>
    </ndxf>
  </rcc>
  <rcc rId="222" sId="6" odxf="1" dxf="1">
    <nc r="B892" t="inlineStr">
      <is>
        <t xml:space="preserve">      Province of Leyte</t>
      </is>
    </nc>
    <odxf>
      <font>
        <color auto="1"/>
      </font>
      <fill>
        <patternFill patternType="none">
          <bgColor indexed="65"/>
        </patternFill>
      </fill>
      <alignment wrapText="1" readingOrder="0"/>
    </odxf>
    <ndxf>
      <font>
        <sz val="10"/>
        <color auto="1"/>
        <name val="Arial"/>
        <scheme val="none"/>
      </font>
      <fill>
        <patternFill patternType="solid">
          <bgColor rgb="FFFF0000"/>
        </patternFill>
      </fill>
      <alignment wrapText="0" readingOrder="0"/>
    </ndxf>
  </rcc>
  <rcc rId="223" sId="6" odxf="1" dxf="1">
    <nc r="B893" t="inlineStr">
      <is>
        <t xml:space="preserve">      Ormoc City, Leyte</t>
      </is>
    </nc>
    <odxf>
      <font>
        <color auto="1"/>
      </font>
      <fill>
        <patternFill patternType="none">
          <bgColor indexed="65"/>
        </patternFill>
      </fill>
      <alignment wrapText="1" readingOrder="0"/>
    </odxf>
    <ndxf>
      <font>
        <sz val="10"/>
        <color auto="1"/>
        <name val="Arial"/>
        <scheme val="none"/>
      </font>
      <fill>
        <patternFill patternType="solid">
          <bgColor rgb="FFFF0000"/>
        </patternFill>
      </fill>
      <alignment wrapText="0" readingOrder="0"/>
    </ndxf>
  </rcc>
  <rcc rId="224" sId="6" odxf="1" dxf="1">
    <nc r="B894" t="inlineStr">
      <is>
        <t xml:space="preserve">      Alangalang, Leyte</t>
      </is>
    </nc>
    <odxf>
      <font>
        <color auto="1"/>
      </font>
      <fill>
        <patternFill patternType="none">
          <bgColor indexed="65"/>
        </patternFill>
      </fill>
      <alignment wrapText="1" readingOrder="0"/>
    </odxf>
    <ndxf>
      <font>
        <sz val="10"/>
        <color auto="1"/>
        <name val="Arial"/>
        <scheme val="none"/>
      </font>
      <fill>
        <patternFill patternType="solid">
          <bgColor rgb="FFFF0000"/>
        </patternFill>
      </fill>
      <alignment wrapText="0" readingOrder="0"/>
    </ndxf>
  </rcc>
  <rcc rId="225" sId="6" odxf="1" dxf="1">
    <nc r="B895" t="inlineStr">
      <is>
        <t xml:space="preserve">      Burauen, Leyte</t>
      </is>
    </nc>
    <odxf>
      <font>
        <color auto="1"/>
      </font>
      <fill>
        <patternFill patternType="none">
          <bgColor indexed="65"/>
        </patternFill>
      </fill>
      <alignment wrapText="1" readingOrder="0"/>
    </odxf>
    <ndxf>
      <font>
        <sz val="10"/>
        <color auto="1"/>
        <name val="Arial"/>
        <scheme val="none"/>
      </font>
      <fill>
        <patternFill patternType="solid">
          <bgColor theme="0"/>
        </patternFill>
      </fill>
      <alignment wrapText="0" readingOrder="0"/>
    </ndxf>
  </rcc>
  <rcc rId="226" sId="6" odxf="1" dxf="1">
    <nc r="B896" t="inlineStr">
      <is>
        <t xml:space="preserve">      Jaro, Leyte</t>
      </is>
    </nc>
    <odxf>
      <font>
        <color auto="1"/>
      </font>
      <fill>
        <patternFill patternType="none">
          <bgColor indexed="65"/>
        </patternFill>
      </fill>
      <alignment wrapText="1" readingOrder="0"/>
    </odxf>
    <ndxf>
      <font>
        <sz val="10"/>
        <color auto="1"/>
        <name val="Arial"/>
        <scheme val="none"/>
      </font>
      <fill>
        <patternFill patternType="solid">
          <bgColor rgb="FFFF0000"/>
        </patternFill>
      </fill>
      <alignment wrapText="0" readingOrder="0"/>
    </ndxf>
  </rcc>
  <rcc rId="227" sId="6" odxf="1" dxf="1">
    <nc r="B897" t="inlineStr">
      <is>
        <t xml:space="preserve">        Hinunangan So. Leyte </t>
      </is>
    </nc>
    <odxf>
      <alignment horizontal="left" vertical="top" wrapText="1" readingOrder="0"/>
    </odxf>
    <ndxf>
      <alignment horizontal="general" vertical="bottom" wrapText="0" readingOrder="0"/>
    </ndxf>
  </rcc>
  <rcc rId="228" sId="6" odxf="1" dxf="1">
    <nc r="B898" t="inlineStr">
      <is>
        <t xml:space="preserve">        Guiuan E. Samar</t>
      </is>
    </nc>
    <odxf>
      <alignment horizontal="left" vertical="top" wrapText="1" readingOrder="0"/>
    </odxf>
    <ndxf>
      <alignment horizontal="general" vertical="bottom" wrapText="0" readingOrder="0"/>
    </ndxf>
  </rcc>
  <rcc rId="229" sId="6" odxf="1" dxf="1">
    <nc r="B899" t="inlineStr">
      <is>
        <t xml:space="preserve">        Laoang No. Samar</t>
      </is>
    </nc>
    <odxf>
      <alignment horizontal="left" vertical="top" wrapText="1" readingOrder="0"/>
    </odxf>
    <ndxf>
      <alignment horizontal="general" vertical="bottom" wrapText="0" readingOrder="0"/>
    </ndxf>
  </rcc>
  <rfmt sheetId="6" sqref="B889:B899">
    <dxf>
      <fill>
        <patternFill patternType="none">
          <bgColor auto="1"/>
        </patternFill>
      </fill>
    </dxf>
  </rfmt>
  <rcc rId="230" sId="6" odxf="1" dxf="1">
    <nc r="S889" t="inlineStr">
      <is>
        <t>Rehabililtation of 6 brgys waterworks system</t>
      </is>
    </nc>
    <odxf>
      <font>
        <sz val="11"/>
        <name val="Calibri"/>
        <scheme val="minor"/>
      </font>
      <alignment vertical="top" wrapText="1" readingOrder="0"/>
    </odxf>
    <ndxf>
      <font>
        <sz val="11"/>
        <name val="Calibri"/>
        <scheme val="none"/>
      </font>
      <alignment vertical="bottom" wrapText="0" readingOrder="0"/>
    </ndxf>
  </rcc>
  <rfmt sheetId="6" sqref="T889" start="0" length="0">
    <dxf>
      <font>
        <sz val="11"/>
        <name val="Calibri"/>
        <scheme val="none"/>
      </font>
      <alignment vertical="bottom" wrapText="0" readingOrder="0"/>
    </dxf>
  </rfmt>
  <rfmt sheetId="6" sqref="U889" start="0" length="0">
    <dxf>
      <font>
        <sz val="11"/>
        <name val="Calibri"/>
        <scheme val="none"/>
      </font>
      <alignment vertical="bottom" wrapText="0" readingOrder="0"/>
    </dxf>
  </rfmt>
  <rcc rId="231" sId="6" odxf="1" dxf="1">
    <nc r="S890" t="inlineStr">
      <is>
        <t>Rehabilitation of 80 m. drainage</t>
      </is>
    </nc>
    <odxf>
      <font>
        <sz val="11"/>
        <name val="Calibri"/>
        <scheme val="minor"/>
      </font>
      <alignment vertical="top" wrapText="1" readingOrder="0"/>
    </odxf>
    <ndxf>
      <font>
        <sz val="11"/>
        <name val="Calibri"/>
        <scheme val="none"/>
      </font>
      <alignment vertical="bottom" wrapText="0" readingOrder="0"/>
    </ndxf>
  </rcc>
  <rfmt sheetId="6" sqref="T890" start="0" length="0">
    <dxf>
      <font>
        <sz val="11"/>
        <name val="Calibri"/>
        <scheme val="none"/>
      </font>
      <alignment vertical="bottom" wrapText="0" readingOrder="0"/>
    </dxf>
  </rfmt>
  <rfmt sheetId="6" sqref="U890" start="0" length="0">
    <dxf>
      <font>
        <sz val="11"/>
        <name val="Calibri"/>
        <scheme val="none"/>
      </font>
      <alignment vertical="bottom" wrapText="0" readingOrder="0"/>
    </dxf>
  </rfmt>
  <rfmt sheetId="6" sqref="Q891" start="0" length="0">
    <dxf>
      <fill>
        <patternFill patternType="solid">
          <bgColor rgb="FFFF0000"/>
        </patternFill>
      </fill>
    </dxf>
  </rfmt>
  <rfmt sheetId="6" sqref="R891" start="0" length="0">
    <dxf>
      <fill>
        <patternFill patternType="solid">
          <bgColor rgb="FFFF0000"/>
        </patternFill>
      </fill>
    </dxf>
  </rfmt>
  <rfmt sheetId="6" sqref="S891" start="0" length="0">
    <dxf>
      <font>
        <sz val="11"/>
        <name val="Calibri"/>
        <scheme val="none"/>
      </font>
      <fill>
        <patternFill patternType="solid">
          <bgColor rgb="FFFF0000"/>
        </patternFill>
      </fill>
      <alignment vertical="bottom" wrapText="0" readingOrder="0"/>
    </dxf>
  </rfmt>
  <rfmt sheetId="6" sqref="T891" start="0" length="0">
    <dxf>
      <font>
        <sz val="11"/>
        <name val="Calibri"/>
        <scheme val="none"/>
      </font>
      <fill>
        <patternFill patternType="solid">
          <bgColor rgb="FFFF0000"/>
        </patternFill>
      </fill>
      <alignment vertical="bottom" wrapText="0" readingOrder="0"/>
    </dxf>
  </rfmt>
  <rfmt sheetId="6" sqref="U891" start="0" length="0">
    <dxf>
      <font>
        <sz val="11"/>
        <name val="Calibri"/>
        <scheme val="none"/>
      </font>
      <fill>
        <patternFill patternType="solid">
          <bgColor rgb="FFFF0000"/>
        </patternFill>
      </fill>
      <alignment vertical="bottom" wrapText="0" readingOrder="0"/>
    </dxf>
  </rfmt>
  <rfmt sheetId="6" sqref="Q892" start="0" length="0">
    <dxf>
      <fill>
        <patternFill patternType="solid">
          <bgColor rgb="FFFF0000"/>
        </patternFill>
      </fill>
    </dxf>
  </rfmt>
  <rfmt sheetId="6" sqref="R892" start="0" length="0">
    <dxf>
      <fill>
        <patternFill patternType="solid">
          <bgColor rgb="FFFF0000"/>
        </patternFill>
      </fill>
    </dxf>
  </rfmt>
  <rfmt sheetId="6" sqref="S892" start="0" length="0">
    <dxf>
      <font>
        <sz val="11"/>
        <name val="Calibri"/>
        <scheme val="none"/>
      </font>
      <fill>
        <patternFill patternType="solid">
          <bgColor rgb="FFFF0000"/>
        </patternFill>
      </fill>
      <alignment vertical="bottom" wrapText="0" readingOrder="0"/>
    </dxf>
  </rfmt>
  <rfmt sheetId="6" sqref="T892" start="0" length="0">
    <dxf>
      <font>
        <sz val="11"/>
        <name val="Calibri"/>
        <scheme val="none"/>
      </font>
      <fill>
        <patternFill patternType="solid">
          <bgColor rgb="FFFF0000"/>
        </patternFill>
      </fill>
      <alignment vertical="bottom" wrapText="0" readingOrder="0"/>
    </dxf>
  </rfmt>
  <rfmt sheetId="6" sqref="U892" start="0" length="0">
    <dxf>
      <font>
        <sz val="11"/>
        <name val="Calibri"/>
        <scheme val="none"/>
      </font>
      <fill>
        <patternFill patternType="solid">
          <bgColor rgb="FFFF0000"/>
        </patternFill>
      </fill>
      <alignment vertical="bottom" wrapText="0" readingOrder="0"/>
    </dxf>
  </rfmt>
  <rfmt sheetId="6" sqref="Q893" start="0" length="0">
    <dxf>
      <fill>
        <patternFill patternType="solid">
          <bgColor rgb="FFFF0000"/>
        </patternFill>
      </fill>
    </dxf>
  </rfmt>
  <rfmt sheetId="6" sqref="R893" start="0" length="0">
    <dxf>
      <fill>
        <patternFill patternType="solid">
          <bgColor rgb="FFFF0000"/>
        </patternFill>
      </fill>
    </dxf>
  </rfmt>
  <rfmt sheetId="6" sqref="S893" start="0" length="0">
    <dxf>
      <font>
        <sz val="11"/>
        <name val="Calibri"/>
        <scheme val="none"/>
      </font>
      <fill>
        <patternFill patternType="solid">
          <bgColor rgb="FFFF0000"/>
        </patternFill>
      </fill>
      <alignment vertical="bottom" wrapText="0" readingOrder="0"/>
    </dxf>
  </rfmt>
  <rfmt sheetId="6" sqref="T893" start="0" length="0">
    <dxf>
      <font>
        <sz val="11"/>
        <name val="Calibri"/>
        <scheme val="none"/>
      </font>
      <fill>
        <patternFill patternType="solid">
          <bgColor rgb="FFFF0000"/>
        </patternFill>
      </fill>
      <alignment vertical="bottom" wrapText="0" readingOrder="0"/>
    </dxf>
  </rfmt>
  <rfmt sheetId="6" sqref="U893" start="0" length="0">
    <dxf>
      <font>
        <sz val="11"/>
        <name val="Calibri"/>
        <scheme val="none"/>
      </font>
      <fill>
        <patternFill patternType="solid">
          <bgColor rgb="FFFF0000"/>
        </patternFill>
      </fill>
      <alignment vertical="bottom" wrapText="0" readingOrder="0"/>
    </dxf>
  </rfmt>
  <rfmt sheetId="6" sqref="Q894" start="0" length="0">
    <dxf>
      <fill>
        <patternFill patternType="solid">
          <bgColor rgb="FFFF0000"/>
        </patternFill>
      </fill>
    </dxf>
  </rfmt>
  <rfmt sheetId="6" sqref="R894" start="0" length="0">
    <dxf>
      <fill>
        <patternFill patternType="solid">
          <bgColor rgb="FFFF0000"/>
        </patternFill>
      </fill>
    </dxf>
  </rfmt>
  <rfmt sheetId="6" sqref="S894" start="0" length="0">
    <dxf>
      <font>
        <sz val="11"/>
        <name val="Calibri"/>
        <scheme val="none"/>
      </font>
      <fill>
        <patternFill patternType="solid">
          <bgColor rgb="FFFF0000"/>
        </patternFill>
      </fill>
      <alignment vertical="bottom" wrapText="0" readingOrder="0"/>
    </dxf>
  </rfmt>
  <rfmt sheetId="6" sqref="T894" start="0" length="0">
    <dxf>
      <font>
        <sz val="11"/>
        <name val="Calibri"/>
        <scheme val="none"/>
      </font>
      <fill>
        <patternFill patternType="solid">
          <bgColor rgb="FFFF0000"/>
        </patternFill>
      </fill>
      <alignment vertical="bottom" wrapText="0" readingOrder="0"/>
    </dxf>
  </rfmt>
  <rfmt sheetId="6" sqref="U894" start="0" length="0">
    <dxf>
      <font>
        <sz val="11"/>
        <name val="Calibri"/>
        <scheme val="none"/>
      </font>
      <fill>
        <patternFill patternType="solid">
          <bgColor rgb="FFFF0000"/>
        </patternFill>
      </fill>
      <alignment vertical="bottom" wrapText="0" readingOrder="0"/>
    </dxf>
  </rfmt>
  <rcc rId="232" sId="6" odxf="1" dxf="1">
    <nc r="S895" t="inlineStr">
      <is>
        <t>Land Fill Development</t>
      </is>
    </nc>
    <odxf>
      <font>
        <sz val="11"/>
        <name val="Calibri"/>
        <scheme val="minor"/>
      </font>
      <alignment vertical="top" wrapText="1" readingOrder="0"/>
    </odxf>
    <ndxf>
      <font>
        <sz val="11"/>
        <name val="Calibri"/>
        <scheme val="none"/>
      </font>
      <alignment vertical="bottom" wrapText="0" readingOrder="0"/>
    </ndxf>
  </rcc>
  <rfmt sheetId="6" sqref="T895" start="0" length="0">
    <dxf>
      <font>
        <sz val="11"/>
        <name val="Calibri"/>
        <scheme val="none"/>
      </font>
      <alignment vertical="bottom" wrapText="0" readingOrder="0"/>
    </dxf>
  </rfmt>
  <rfmt sheetId="6" sqref="U895" start="0" length="0">
    <dxf>
      <font>
        <sz val="11"/>
        <name val="Calibri"/>
        <scheme val="none"/>
      </font>
      <alignment vertical="bottom" wrapText="0" readingOrder="0"/>
    </dxf>
  </rfmt>
  <rfmt sheetId="6" sqref="Q896" start="0" length="0">
    <dxf>
      <fill>
        <patternFill patternType="solid">
          <bgColor rgb="FFFF0000"/>
        </patternFill>
      </fill>
    </dxf>
  </rfmt>
  <rfmt sheetId="6" sqref="R896" start="0" length="0">
    <dxf>
      <fill>
        <patternFill patternType="solid">
          <bgColor rgb="FFFF0000"/>
        </patternFill>
      </fill>
    </dxf>
  </rfmt>
  <rfmt sheetId="6" sqref="S896" start="0" length="0">
    <dxf>
      <font>
        <sz val="11"/>
        <name val="Calibri"/>
        <scheme val="none"/>
      </font>
      <fill>
        <patternFill patternType="solid">
          <bgColor rgb="FFFF0000"/>
        </patternFill>
      </fill>
      <alignment vertical="bottom" wrapText="0" readingOrder="0"/>
    </dxf>
  </rfmt>
  <rfmt sheetId="6" sqref="T896" start="0" length="0">
    <dxf>
      <font>
        <sz val="11"/>
        <name val="Calibri"/>
        <scheme val="none"/>
      </font>
      <fill>
        <patternFill patternType="solid">
          <bgColor rgb="FFFF0000"/>
        </patternFill>
      </fill>
      <alignment vertical="bottom" wrapText="0" readingOrder="0"/>
    </dxf>
  </rfmt>
  <rfmt sheetId="6" sqref="U896" start="0" length="0">
    <dxf>
      <font>
        <sz val="11"/>
        <name val="Calibri"/>
        <scheme val="none"/>
      </font>
      <fill>
        <patternFill patternType="solid">
          <bgColor rgb="FFFF0000"/>
        </patternFill>
      </fill>
      <alignment vertical="bottom" wrapText="0" readingOrder="0"/>
    </dxf>
  </rfmt>
  <rcc rId="233" sId="6" odxf="1" dxf="1">
    <nc r="S897" t="inlineStr">
      <is>
        <t>River Control at Brgy Badiangon 180 cu. M embankment; 542 cu. M slope protection</t>
      </is>
    </nc>
    <odxf>
      <font>
        <sz val="11"/>
        <name val="Calibri"/>
        <scheme val="minor"/>
      </font>
      <alignment horizontal="general" readingOrder="0"/>
    </odxf>
    <ndxf>
      <font>
        <sz val="8"/>
        <name val="Calibri"/>
        <scheme val="none"/>
      </font>
      <alignment horizontal="center" readingOrder="0"/>
    </ndxf>
  </rcc>
  <rfmt sheetId="6" sqref="T897" start="0" length="0">
    <dxf>
      <font>
        <sz val="8"/>
        <name val="Calibri"/>
        <scheme val="none"/>
      </font>
      <alignment horizontal="center" readingOrder="0"/>
    </dxf>
  </rfmt>
  <rfmt sheetId="6" sqref="U897" start="0" length="0">
    <dxf>
      <font>
        <sz val="8"/>
        <name val="Calibri"/>
        <scheme val="none"/>
      </font>
      <alignment horizontal="center" readingOrder="0"/>
    </dxf>
  </rfmt>
  <rcc rId="234" sId="6" odxf="1" s="1" dxf="1">
    <nc r="S898" t="inlineStr">
      <is>
        <t>Road concreting and reblocking and Brgy 1 &amp; 2</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8"/>
        <color theme="1"/>
        <name val="Calibri"/>
        <scheme val="minor"/>
      </font>
      <numFmt numFmtId="0" formatCode="General"/>
      <alignment horizontal="center" readingOrder="0"/>
    </ndxf>
  </rcc>
  <rfmt sheetId="6" s="1" sqref="T898" start="0" length="0">
    <dxf>
      <font>
        <b val="0"/>
        <sz val="8"/>
        <color theme="1"/>
        <name val="Calibri"/>
        <scheme val="minor"/>
      </font>
      <numFmt numFmtId="0" formatCode="General"/>
      <alignment horizontal="center" readingOrder="0"/>
    </dxf>
  </rfmt>
  <rfmt sheetId="6" s="1" sqref="U898" start="0" length="0">
    <dxf>
      <font>
        <b val="0"/>
        <sz val="8"/>
        <color theme="1"/>
        <name val="Calibri"/>
        <scheme val="minor"/>
      </font>
      <numFmt numFmtId="0" formatCode="General"/>
      <alignment horizontal="center" readingOrder="0"/>
    </dxf>
  </rfmt>
  <rfmt sheetId="6" s="1" sqref="Q899" start="0" length="0">
    <dxf>
      <font>
        <b val="0"/>
        <sz val="11"/>
        <color auto="1"/>
        <name val="Calibri"/>
        <scheme val="none"/>
      </font>
    </dxf>
  </rfmt>
  <rfmt sheetId="6" s="1" sqref="R899" start="0" length="0">
    <dxf>
      <font>
        <b val="0"/>
        <sz val="11"/>
        <color auto="1"/>
        <name val="Calibri"/>
        <scheme val="none"/>
      </font>
    </dxf>
  </rfmt>
  <rcc rId="235" sId="6" odxf="1" s="1" dxf="1">
    <nc r="S899" t="inlineStr">
      <is>
        <t>Counterpart for the construction of farm to market road Brgy Suba Canyomanao</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8"/>
        <color theme="1"/>
        <name val="Calibri"/>
        <scheme val="minor"/>
      </font>
      <numFmt numFmtId="0" formatCode="General"/>
      <alignment horizontal="center" readingOrder="0"/>
    </ndxf>
  </rcc>
  <rfmt sheetId="6" s="1" sqref="T899" start="0" length="0">
    <dxf>
      <font>
        <b val="0"/>
        <sz val="8"/>
        <color theme="1"/>
        <name val="Calibri"/>
        <scheme val="minor"/>
      </font>
      <numFmt numFmtId="0" formatCode="General"/>
      <alignment horizontal="center" readingOrder="0"/>
    </dxf>
  </rfmt>
  <rfmt sheetId="6" s="1" sqref="U899" start="0" length="0">
    <dxf>
      <font>
        <b val="0"/>
        <sz val="8"/>
        <color theme="1"/>
        <name val="Calibri"/>
        <scheme val="minor"/>
      </font>
      <numFmt numFmtId="0" formatCode="General"/>
      <alignment horizontal="center" readingOrder="0"/>
    </dxf>
  </rfmt>
  <rfmt sheetId="6" sqref="Q888:R888" start="0" length="0">
    <dxf>
      <border>
        <bottom style="thin">
          <color indexed="64"/>
        </bottom>
      </border>
    </dxf>
  </rfmt>
  <rfmt sheetId="6" sqref="A889:XFD899">
    <dxf>
      <fill>
        <patternFill patternType="none">
          <bgColor auto="1"/>
        </patternFill>
      </fill>
    </dxf>
  </rfmt>
  <rrc rId="236" sId="6" ref="A1360:XFD1390"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713:$XFD$2713" dn="Z_5032F846_223D_4C05_81F5_66ECC60A941D_.wvu.Rows" sId="6"/>
    <undo index="4" exp="area" ref3D="1" dr="$A$2113:$XFD$2119" dn="Z_5032F846_223D_4C05_81F5_66ECC60A941D_.wvu.Rows" sId="6"/>
    <undo index="4" exp="area" ref3D="1" dr="$A$2713:$XFD$2713"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237" sId="6" odxf="1" dxf="1">
    <nc r="B1360" t="inlineStr">
      <is>
        <t xml:space="preserve">    BILIRAN</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38" sId="6" odxf="1" dxf="1">
    <nc r="B1361" t="inlineStr">
      <is>
        <t xml:space="preserve">               Cabucgayan   -  500,000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39" sId="6" odxf="1" dxf="1">
    <nc r="B1362" t="inlineStr">
      <is>
        <t xml:space="preserve">               Kawayan         -  500,000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40" sId="6" odxf="1" dxf="1">
    <nc r="B1363" t="inlineStr">
      <is>
        <t xml:space="preserve">               Maripipi          -  400,000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41" sId="6" odxf="1" dxf="1">
    <nc r="B1364" t="inlineStr">
      <is>
        <t xml:space="preserve">               Prov Biliran   -   5M</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42" sId="6" odxf="1" dxf="1">
    <nc r="B1365" t="inlineStr">
      <is>
        <t xml:space="preserve">    EASTERN SAMAR</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43" sId="6" odxf="1" dxf="1">
    <nc r="B1366" t="inlineStr">
      <is>
        <t xml:space="preserve">               Prov of E. Samar    - 15M</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44" sId="6" odxf="1" dxf="1">
    <nc r="B1367" t="inlineStr">
      <is>
        <t xml:space="preserve">               Balangiga   -  600,000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45" sId="6" odxf="1" dxf="1">
    <nc r="B1368" t="inlineStr">
      <is>
        <t xml:space="preserve">               Dolores      -   1M</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46" sId="6" odxf="1" dxf="1">
    <nc r="B1369" t="inlineStr">
      <is>
        <t xml:space="preserve">                Hernani    -    400,000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FF00"/>
        </patternFill>
      </fill>
      <alignment horizontal="general" vertical="bottom" wrapText="0" readingOrder="0"/>
      <border outline="0">
        <left style="thin">
          <color indexed="64"/>
        </left>
        <right style="thin">
          <color indexed="64"/>
        </right>
        <top style="thin">
          <color indexed="64"/>
        </top>
        <bottom style="thin">
          <color indexed="64"/>
        </bottom>
      </border>
    </ndxf>
  </rcc>
  <rcc rId="247" sId="6" odxf="1" dxf="1">
    <nc r="B1370" t="inlineStr">
      <is>
        <t xml:space="preserve">               Maydolong -  900,000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48" sId="6" odxf="1" dxf="1">
    <nc r="B1371" t="inlineStr">
      <is>
        <t xml:space="preserve">               San Julian    - 600,000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49" sId="6" odxf="1" dxf="1">
    <nc r="B1372" t="inlineStr">
      <is>
        <t xml:space="preserve">               Sulat             -  700,000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50" sId="6" odxf="1" dxf="1">
    <nc r="B1373" t="inlineStr">
      <is>
        <t xml:space="preserve">    LEYTE</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51" sId="6" odxf="1" dxf="1">
    <nc r="B1374" t="inlineStr">
      <is>
        <t xml:space="preserve">               Babatngon  -  700,000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52" sId="6" odxf="1" dxf="1">
    <nc r="B1375" t="inlineStr">
      <is>
        <t xml:space="preserve">               Calubian     -   700,000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53" sId="6" odxf="1" dxf="1">
    <nc r="B1376" t="inlineStr">
      <is>
        <t xml:space="preserve">               Dagami       -    800,000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54" sId="6" odxf="1" dxf="1">
    <nc r="B1377" t="inlineStr">
      <is>
        <t xml:space="preserve">               Palo             -    1M</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55" sId="6" odxf="1" dxf="1">
    <nc r="B1378" t="inlineStr">
      <is>
        <t xml:space="preserve">               Tanauan    -     900,000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56" sId="6" odxf="1" dxf="1">
    <nc r="B1379" t="inlineStr">
      <is>
        <t xml:space="preserve">               Tacloban City   - 25M</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57" sId="6" odxf="1" dxf="1">
    <nc r="B1380" t="inlineStr">
      <is>
        <t xml:space="preserve">    NO. SAMAR</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58" sId="6" odxf="1" dxf="1">
    <nc r="B1381" t="inlineStr">
      <is>
        <t xml:space="preserve">                Prov No. Samar   - 15M</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59" sId="6" odxf="1" dxf="1">
    <nc r="B1382" t="inlineStr">
      <is>
        <t xml:space="preserve">                San Isidro             - 800,000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60" sId="6" odxf="1" dxf="1">
    <nc r="B1383" t="inlineStr">
      <is>
        <t xml:space="preserve">    SO. LEYTE</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61" sId="6" odxf="1" dxf="1">
    <nc r="B1384" t="inlineStr">
      <is>
        <t xml:space="preserve">                 Hinundayan    -  500,000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62" sId="6" odxf="1" dxf="1">
    <nc r="B1385" t="inlineStr">
      <is>
        <t xml:space="preserve">                 Macrohon        -  700,000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63" sId="6" odxf="1" dxf="1">
    <nc r="B1386" t="inlineStr">
      <is>
        <t xml:space="preserve">                 Maasin             -   20M</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64" sId="6" odxf="1" dxf="1">
    <nc r="B1387" t="inlineStr">
      <is>
        <t xml:space="preserve">    SAMAR</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cc rId="265" sId="6" odxf="1" dxf="1">
    <nc r="B1388" t="inlineStr">
      <is>
        <t xml:space="preserve">                  Calbiga       -  800,000</t>
      </is>
    </nc>
    <odxf>
      <font>
        <color auto="1"/>
      </font>
      <fill>
        <patternFill patternType="none">
          <bgColor indexed="65"/>
        </patternFill>
      </fill>
      <alignment horizontal="left" vertical="top" wrapText="1" readingOrder="0"/>
      <border outline="0">
        <left/>
        <right/>
        <top/>
        <bottom/>
      </border>
    </odxf>
    <ndxf>
      <font>
        <sz val="11"/>
        <color theme="1"/>
        <name val="Calibri"/>
        <scheme val="minor"/>
      </font>
      <fill>
        <patternFill patternType="solid">
          <bgColor rgb="FFFF0000"/>
        </patternFill>
      </fill>
      <alignment horizontal="general" vertical="bottom" wrapText="0" readingOrder="0"/>
      <border outline="0">
        <left style="thin">
          <color indexed="64"/>
        </left>
        <right style="thin">
          <color indexed="64"/>
        </right>
        <top style="thin">
          <color indexed="64"/>
        </top>
        <bottom style="thin">
          <color indexed="64"/>
        </bottom>
      </border>
    </ndxf>
  </rcc>
  <rcc rId="266" sId="6" odxf="1" dxf="1">
    <nc r="B1389" t="inlineStr">
      <is>
        <t xml:space="preserve">                  Marabut    -   600,000</t>
      </is>
    </nc>
    <odxf>
      <font>
        <color auto="1"/>
      </font>
      <alignment horizontal="left" vertical="top" wrapText="1" readingOrder="0"/>
      <border outline="0">
        <left/>
        <right/>
        <top/>
        <bottom/>
      </border>
    </odxf>
    <ndxf>
      <font>
        <sz val="11"/>
        <color theme="1"/>
        <name val="Calibri"/>
        <scheme val="minor"/>
      </font>
      <alignment horizontal="general" vertical="bottom" wrapText="0" readingOrder="0"/>
      <border outline="0">
        <left style="thin">
          <color indexed="64"/>
        </left>
        <right style="thin">
          <color indexed="64"/>
        </right>
        <top style="thin">
          <color indexed="64"/>
        </top>
        <bottom style="thin">
          <color indexed="64"/>
        </bottom>
      </border>
    </ndxf>
  </rcc>
  <rfmt sheetId="6" sqref="B1360:B1389" start="0" length="2147483647">
    <dxf>
      <font>
        <color rgb="FFFF0000"/>
      </font>
    </dxf>
  </rfmt>
  <rfmt sheetId="6" sqref="B1360:B1389" start="0" length="0">
    <dxf>
      <border>
        <left/>
      </border>
    </dxf>
  </rfmt>
  <rfmt sheetId="6" sqref="B1360" start="0" length="0">
    <dxf>
      <border>
        <top/>
      </border>
    </dxf>
  </rfmt>
  <rfmt sheetId="6" sqref="B1360:B1389" start="0" length="0">
    <dxf>
      <border>
        <right/>
      </border>
    </dxf>
  </rfmt>
  <rfmt sheetId="6" sqref="B1389" start="0" length="0">
    <dxf>
      <border>
        <bottom/>
      </border>
    </dxf>
  </rfmt>
  <rfmt sheetId="6" sqref="B1360:B1389">
    <dxf>
      <border>
        <top/>
        <bottom/>
        <horizontal/>
      </border>
    </dxf>
  </rfmt>
  <rfmt sheetId="6" sqref="B1360:B1389" start="0" length="2147483647">
    <dxf>
      <font>
        <color auto="1"/>
      </font>
    </dxf>
  </rfmt>
  <rfmt sheetId="6" sqref="B1360:B1389">
    <dxf>
      <fill>
        <patternFill patternType="none">
          <bgColor auto="1"/>
        </patternFill>
      </fill>
    </dxf>
  </rfmt>
  <rcc rId="267" sId="6">
    <nc r="S1366" t="inlineStr">
      <is>
        <t>REHAB IMPROVEMENT DAMPIGAN FMR DOLORES / REPAIR IMPROVEMENT CAMADA CABALAGNAN CANHUPAY, FMR BORONGAN CITY</t>
      </is>
    </nc>
  </rcc>
  <rcc rId="268" sId="6" odxf="1" s="1" dxf="1">
    <nc r="S1368" t="inlineStr">
      <is>
        <t>Const. of Public Market Phase II</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8"/>
        <color theme="1"/>
        <name val="Calibri"/>
        <scheme val="minor"/>
      </font>
      <numFmt numFmtId="0" formatCode="General"/>
      <alignment wrapText="0" readingOrder="0"/>
    </ndxf>
  </rcc>
  <rcc rId="269" sId="6">
    <nc r="S1370" t="inlineStr">
      <is>
        <t>Construction of drainage canal farm to market road</t>
      </is>
    </nc>
  </rcc>
  <rcc rId="270" sId="6" odxf="1" s="1" dxf="1">
    <nc r="S1371" t="inlineStr">
      <is>
        <t>Education and Health Programs</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8"/>
        <color theme="1"/>
        <name val="Calibri"/>
        <scheme val="minor"/>
      </font>
      <numFmt numFmtId="0" formatCode="General"/>
      <alignment horizontal="center" readingOrder="0"/>
    </ndxf>
  </rcc>
  <rfmt sheetId="6" s="1" sqref="T1371" start="0" length="0">
    <dxf>
      <font>
        <b val="0"/>
        <sz val="8"/>
        <color theme="1"/>
        <name val="Calibri"/>
        <scheme val="minor"/>
      </font>
      <numFmt numFmtId="0" formatCode="General"/>
      <alignment horizontal="center" readingOrder="0"/>
    </dxf>
  </rfmt>
  <rfmt sheetId="6" s="1" sqref="U1371" start="0" length="0">
    <dxf>
      <font>
        <b val="0"/>
        <sz val="8"/>
        <color theme="1"/>
        <name val="Calibri"/>
        <scheme val="minor"/>
      </font>
      <numFmt numFmtId="0" formatCode="General"/>
      <alignment horizontal="center" readingOrder="0"/>
    </dxf>
  </rfmt>
  <rcc rId="271" sId="6" odxf="1" s="1" dxf="1">
    <nc r="S1372" t="inlineStr">
      <is>
        <t>Farm to Market Road</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11"/>
        <color theme="1"/>
        <name val="Calibri"/>
        <scheme val="minor"/>
      </font>
      <numFmt numFmtId="0" formatCode="General"/>
      <alignment wrapText="0" readingOrder="0"/>
    </ndxf>
  </rcc>
  <rcc rId="272" sId="6" odxf="1" s="1" dxf="1">
    <nc r="S1376" t="inlineStr">
      <is>
        <t>Rehabilitation of brgy roads</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11"/>
        <color theme="1"/>
        <name val="Calibri"/>
        <scheme val="minor"/>
      </font>
      <numFmt numFmtId="0" formatCode="General"/>
      <alignment wrapText="0" readingOrder="0"/>
    </ndxf>
  </rcc>
  <rfmt sheetId="6" s="1" sqref="T1376" start="0" length="0">
    <dxf>
      <font>
        <b val="0"/>
        <sz val="11"/>
        <color theme="1"/>
        <name val="Calibri"/>
        <scheme val="minor"/>
      </font>
      <numFmt numFmtId="0" formatCode="General"/>
      <alignment wrapText="0" readingOrder="0"/>
    </dxf>
  </rfmt>
  <rfmt sheetId="6" s="1" sqref="U1376" start="0" length="0">
    <dxf>
      <font>
        <b val="0"/>
        <sz val="11"/>
        <color theme="1"/>
        <name val="Calibri"/>
        <scheme val="minor"/>
      </font>
      <numFmt numFmtId="0" formatCode="General"/>
      <alignment wrapText="0" readingOrder="0"/>
    </dxf>
  </rfmt>
  <rfmt sheetId="6" s="1" sqref="S1377" start="0" length="0">
    <dxf>
      <font>
        <b val="0"/>
        <sz val="11"/>
        <color theme="1"/>
        <name val="Calibri"/>
        <scheme val="minor"/>
      </font>
      <numFmt numFmtId="0" formatCode="General"/>
      <fill>
        <patternFill patternType="solid">
          <bgColor rgb="FFFF0000"/>
        </patternFill>
      </fill>
      <alignment wrapText="0" readingOrder="0"/>
    </dxf>
  </rfmt>
  <rfmt sheetId="6" s="1" sqref="T1377" start="0" length="0">
    <dxf>
      <font>
        <b val="0"/>
        <sz val="11"/>
        <color theme="1"/>
        <name val="Calibri"/>
        <scheme val="minor"/>
      </font>
      <numFmt numFmtId="0" formatCode="General"/>
      <fill>
        <patternFill patternType="solid">
          <bgColor rgb="FFFF0000"/>
        </patternFill>
      </fill>
      <alignment wrapText="0" readingOrder="0"/>
    </dxf>
  </rfmt>
  <rfmt sheetId="6" s="1" sqref="U1377" start="0" length="0">
    <dxf>
      <font>
        <b val="0"/>
        <sz val="11"/>
        <color theme="1"/>
        <name val="Calibri"/>
        <scheme val="minor"/>
      </font>
      <numFmt numFmtId="0" formatCode="General"/>
      <fill>
        <patternFill patternType="solid">
          <bgColor rgb="FFFF0000"/>
        </patternFill>
      </fill>
      <alignment wrapText="0" readingOrder="0"/>
    </dxf>
  </rfmt>
  <rfmt sheetId="6" s="1" sqref="S1378" start="0" length="0">
    <dxf>
      <font>
        <b val="0"/>
        <sz val="11"/>
        <color theme="1"/>
        <name val="Calibri"/>
        <scheme val="minor"/>
      </font>
      <numFmt numFmtId="0" formatCode="General"/>
      <fill>
        <patternFill patternType="solid">
          <bgColor rgb="FFFF0000"/>
        </patternFill>
      </fill>
      <alignment wrapText="0" readingOrder="0"/>
    </dxf>
  </rfmt>
  <rfmt sheetId="6" s="1" sqref="T1378" start="0" length="0">
    <dxf>
      <font>
        <b val="0"/>
        <sz val="11"/>
        <color theme="1"/>
        <name val="Calibri"/>
        <scheme val="minor"/>
      </font>
      <numFmt numFmtId="0" formatCode="General"/>
      <fill>
        <patternFill patternType="solid">
          <bgColor rgb="FFFF0000"/>
        </patternFill>
      </fill>
      <alignment wrapText="0" readingOrder="0"/>
    </dxf>
  </rfmt>
  <rfmt sheetId="6" s="1" sqref="U1378" start="0" length="0">
    <dxf>
      <font>
        <b val="0"/>
        <sz val="11"/>
        <color theme="1"/>
        <name val="Calibri"/>
        <scheme val="minor"/>
      </font>
      <numFmt numFmtId="0" formatCode="General"/>
      <fill>
        <patternFill patternType="solid">
          <bgColor rgb="FFFF0000"/>
        </patternFill>
      </fill>
      <alignment wrapText="0" readingOrder="0"/>
    </dxf>
  </rfmt>
  <rcc rId="273" sId="6" odxf="1" s="1" dxf="1">
    <nc r="S1379" t="inlineStr">
      <is>
        <t>Medical clinic constructed. Road concreted</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11"/>
        <color theme="1"/>
        <name val="Calibri"/>
        <scheme val="minor"/>
      </font>
      <numFmt numFmtId="0" formatCode="General"/>
      <alignment wrapText="0" readingOrder="0"/>
    </ndxf>
  </rcc>
  <rfmt sheetId="6" s="1" sqref="T1379" start="0" length="0">
    <dxf>
      <font>
        <b val="0"/>
        <sz val="11"/>
        <color theme="1"/>
        <name val="Calibri"/>
        <scheme val="minor"/>
      </font>
      <numFmt numFmtId="0" formatCode="General"/>
      <alignment wrapText="0" readingOrder="0"/>
    </dxf>
  </rfmt>
  <rfmt sheetId="6" s="1" sqref="U1379" start="0" length="0">
    <dxf>
      <font>
        <b val="0"/>
        <sz val="11"/>
        <color theme="1"/>
        <name val="Calibri"/>
        <scheme val="minor"/>
      </font>
      <numFmt numFmtId="0" formatCode="General"/>
      <alignment wrapText="0" readingOrder="0"/>
    </dxf>
  </rfmt>
  <rfmt sheetId="6" s="1" sqref="S1380" start="0" length="0">
    <dxf>
      <font>
        <b val="0"/>
        <sz val="11"/>
        <color theme="1"/>
        <name val="Calibri"/>
        <scheme val="minor"/>
      </font>
      <numFmt numFmtId="0" formatCode="General"/>
      <alignment wrapText="0" readingOrder="0"/>
    </dxf>
  </rfmt>
  <rfmt sheetId="6" s="1" sqref="T1380" start="0" length="0">
    <dxf>
      <font>
        <b val="0"/>
        <sz val="11"/>
        <color theme="1"/>
        <name val="Calibri"/>
        <scheme val="minor"/>
      </font>
      <numFmt numFmtId="0" formatCode="General"/>
      <alignment wrapText="0" readingOrder="0"/>
    </dxf>
  </rfmt>
  <rfmt sheetId="6" s="1" sqref="U1380" start="0" length="0">
    <dxf>
      <font>
        <b val="0"/>
        <sz val="11"/>
        <color theme="1"/>
        <name val="Calibri"/>
        <scheme val="minor"/>
      </font>
      <numFmt numFmtId="0" formatCode="General"/>
      <alignment wrapText="0" readingOrder="0"/>
    </dxf>
  </rfmt>
  <rfmt sheetId="6" s="1" sqref="S1381" start="0" length="0">
    <dxf>
      <font>
        <b val="0"/>
        <sz val="11"/>
        <color theme="1"/>
        <name val="Calibri"/>
        <scheme val="minor"/>
      </font>
      <numFmt numFmtId="0" formatCode="General"/>
      <fill>
        <patternFill patternType="solid">
          <bgColor rgb="FFFF0000"/>
        </patternFill>
      </fill>
      <alignment wrapText="0" readingOrder="0"/>
    </dxf>
  </rfmt>
  <rfmt sheetId="6" s="1" sqref="T1381" start="0" length="0">
    <dxf>
      <font>
        <b val="0"/>
        <sz val="11"/>
        <color theme="1"/>
        <name val="Calibri"/>
        <scheme val="minor"/>
      </font>
      <numFmt numFmtId="0" formatCode="General"/>
      <fill>
        <patternFill patternType="solid">
          <bgColor rgb="FFFF0000"/>
        </patternFill>
      </fill>
      <alignment wrapText="0" readingOrder="0"/>
    </dxf>
  </rfmt>
  <rfmt sheetId="6" s="1" sqref="U1381" start="0" length="0">
    <dxf>
      <font>
        <b val="0"/>
        <sz val="11"/>
        <color theme="1"/>
        <name val="Calibri"/>
        <scheme val="minor"/>
      </font>
      <numFmt numFmtId="0" formatCode="General"/>
      <fill>
        <patternFill patternType="solid">
          <bgColor rgb="FFFF0000"/>
        </patternFill>
      </fill>
      <alignment wrapText="0" readingOrder="0"/>
    </dxf>
  </rfmt>
  <rcc rId="274" sId="6" odxf="1" s="1" dxf="1">
    <nc r="S1382" t="inlineStr">
      <is>
        <t>280 square meter of PCCP</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8"/>
        <color theme="1"/>
        <name val="Calibri"/>
        <scheme val="minor"/>
      </font>
      <numFmt numFmtId="0" formatCode="General"/>
      <alignment horizontal="center" readingOrder="0"/>
    </ndxf>
  </rcc>
  <rfmt sheetId="6" s="1" sqref="T1382" start="0" length="0">
    <dxf>
      <font>
        <b val="0"/>
        <sz val="8"/>
        <color theme="1"/>
        <name val="Calibri"/>
        <scheme val="minor"/>
      </font>
      <numFmt numFmtId="0" formatCode="General"/>
      <alignment horizontal="center" readingOrder="0"/>
    </dxf>
  </rfmt>
  <rfmt sheetId="6" s="1" sqref="U1382" start="0" length="0">
    <dxf>
      <font>
        <b val="0"/>
        <sz val="8"/>
        <color theme="1"/>
        <name val="Calibri"/>
        <scheme val="minor"/>
      </font>
      <numFmt numFmtId="0" formatCode="General"/>
      <alignment horizontal="center" readingOrder="0"/>
    </dxf>
  </rfmt>
  <rfmt sheetId="6" s="1" sqref="S1383" start="0" length="0">
    <dxf>
      <font>
        <b val="0"/>
        <sz val="11"/>
        <color theme="1"/>
        <name val="Calibri"/>
        <scheme val="minor"/>
      </font>
      <numFmt numFmtId="0" formatCode="General"/>
      <alignment wrapText="0" readingOrder="0"/>
    </dxf>
  </rfmt>
  <rfmt sheetId="6" s="1" sqref="T1383" start="0" length="0">
    <dxf>
      <font>
        <b val="0"/>
        <sz val="11"/>
        <color theme="1"/>
        <name val="Calibri"/>
        <scheme val="minor"/>
      </font>
      <numFmt numFmtId="0" formatCode="General"/>
      <alignment wrapText="0" readingOrder="0"/>
    </dxf>
  </rfmt>
  <rfmt sheetId="6" s="1" sqref="U1383" start="0" length="0">
    <dxf>
      <font>
        <b val="0"/>
        <sz val="11"/>
        <color theme="1"/>
        <name val="Calibri"/>
        <scheme val="minor"/>
      </font>
      <numFmt numFmtId="0" formatCode="General"/>
      <alignment wrapText="0" readingOrder="0"/>
    </dxf>
  </rfmt>
  <rfmt sheetId="6" s="1" sqref="S1384" start="0" length="0">
    <dxf>
      <font>
        <b val="0"/>
        <sz val="11"/>
        <color theme="1"/>
        <name val="Calibri"/>
        <scheme val="minor"/>
      </font>
      <numFmt numFmtId="0" formatCode="General"/>
      <fill>
        <patternFill patternType="solid">
          <bgColor rgb="FFFF0000"/>
        </patternFill>
      </fill>
      <alignment wrapText="0" readingOrder="0"/>
    </dxf>
  </rfmt>
  <rfmt sheetId="6" s="1" sqref="T1384" start="0" length="0">
    <dxf>
      <font>
        <b val="0"/>
        <sz val="11"/>
        <color theme="1"/>
        <name val="Calibri"/>
        <scheme val="minor"/>
      </font>
      <numFmt numFmtId="0" formatCode="General"/>
      <fill>
        <patternFill patternType="solid">
          <bgColor rgb="FFFF0000"/>
        </patternFill>
      </fill>
      <alignment wrapText="0" readingOrder="0"/>
    </dxf>
  </rfmt>
  <rfmt sheetId="6" s="1" sqref="U1384" start="0" length="0">
    <dxf>
      <font>
        <b val="0"/>
        <sz val="11"/>
        <color theme="1"/>
        <name val="Calibri"/>
        <scheme val="minor"/>
      </font>
      <numFmt numFmtId="0" formatCode="General"/>
      <fill>
        <patternFill patternType="solid">
          <bgColor rgb="FFFF0000"/>
        </patternFill>
      </fill>
      <alignment wrapText="0" readingOrder="0"/>
    </dxf>
  </rfmt>
  <rcc rId="275" sId="6" odxf="1" s="1" dxf="1">
    <nc r="S1385" t="inlineStr">
      <is>
        <t>360 linear meters half lane2.5 meters width</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8"/>
        <color theme="1"/>
        <name val="Calibri"/>
        <scheme val="minor"/>
      </font>
      <numFmt numFmtId="0" formatCode="General"/>
      <alignment horizontal="center" readingOrder="0"/>
    </ndxf>
  </rcc>
  <rfmt sheetId="6" s="1" sqref="T1385" start="0" length="0">
    <dxf>
      <font>
        <b val="0"/>
        <sz val="8"/>
        <color theme="1"/>
        <name val="Calibri"/>
        <scheme val="minor"/>
      </font>
      <numFmt numFmtId="0" formatCode="General"/>
      <alignment horizontal="center" readingOrder="0"/>
    </dxf>
  </rfmt>
  <rfmt sheetId="6" s="1" sqref="U1385" start="0" length="0">
    <dxf>
      <font>
        <b val="0"/>
        <sz val="8"/>
        <color theme="1"/>
        <name val="Calibri"/>
        <scheme val="minor"/>
      </font>
      <numFmt numFmtId="0" formatCode="General"/>
      <alignment horizontal="center" readingOrder="0"/>
    </dxf>
  </rfmt>
  <rcc rId="276" sId="6" odxf="1" s="1" dxf="1">
    <nc r="S1386" t="inlineStr">
      <is>
        <t>Improvement of Maasin City complex. Procurement of Equipments and installation o maternal care. Acquired lot for Slaughterhouse. 75% completion of water system. Partial completion of farm to market road. Construction of Flood control structures</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8"/>
        <color theme="1"/>
        <name val="Calibri"/>
        <scheme val="minor"/>
      </font>
      <numFmt numFmtId="0" formatCode="General"/>
      <alignment horizontal="center" readingOrder="0"/>
    </ndxf>
  </rcc>
  <rfmt sheetId="6" s="1" sqref="T1386" start="0" length="0">
    <dxf>
      <font>
        <b val="0"/>
        <sz val="8"/>
        <color theme="1"/>
        <name val="Calibri"/>
        <scheme val="minor"/>
      </font>
      <numFmt numFmtId="0" formatCode="General"/>
      <alignment horizontal="center" readingOrder="0"/>
    </dxf>
  </rfmt>
  <rfmt sheetId="6" s="1" sqref="U1386" start="0" length="0">
    <dxf>
      <font>
        <b val="0"/>
        <sz val="8"/>
        <color theme="1"/>
        <name val="Calibri"/>
        <scheme val="minor"/>
      </font>
      <numFmt numFmtId="0" formatCode="General"/>
      <alignment horizontal="center" readingOrder="0"/>
    </dxf>
  </rfmt>
  <rfmt sheetId="6" s="1" sqref="S1387" start="0" length="0">
    <dxf>
      <font>
        <b val="0"/>
        <sz val="11"/>
        <color theme="1"/>
        <name val="Calibri"/>
        <scheme val="minor"/>
      </font>
      <numFmt numFmtId="0" formatCode="General"/>
      <alignment wrapText="0" readingOrder="0"/>
    </dxf>
  </rfmt>
  <rfmt sheetId="6" s="1" sqref="T1387" start="0" length="0">
    <dxf>
      <font>
        <b val="0"/>
        <sz val="11"/>
        <color theme="1"/>
        <name val="Calibri"/>
        <scheme val="minor"/>
      </font>
      <numFmt numFmtId="0" formatCode="General"/>
      <alignment wrapText="0" readingOrder="0"/>
    </dxf>
  </rfmt>
  <rfmt sheetId="6" s="1" sqref="U1387" start="0" length="0">
    <dxf>
      <font>
        <b val="0"/>
        <sz val="11"/>
        <color theme="1"/>
        <name val="Calibri"/>
        <scheme val="minor"/>
      </font>
      <numFmt numFmtId="0" formatCode="General"/>
      <alignment wrapText="0" readingOrder="0"/>
    </dxf>
  </rfmt>
  <rfmt sheetId="6" s="1" sqref="S1388" start="0" length="0">
    <dxf>
      <font>
        <b val="0"/>
        <sz val="11"/>
        <color theme="1"/>
        <name val="Calibri"/>
        <scheme val="minor"/>
      </font>
      <numFmt numFmtId="0" formatCode="General"/>
      <fill>
        <patternFill patternType="solid">
          <bgColor rgb="FFFF0000"/>
        </patternFill>
      </fill>
      <alignment wrapText="0" readingOrder="0"/>
    </dxf>
  </rfmt>
  <rfmt sheetId="6" s="1" sqref="T1388" start="0" length="0">
    <dxf>
      <font>
        <b val="0"/>
        <sz val="11"/>
        <color theme="1"/>
        <name val="Calibri"/>
        <scheme val="minor"/>
      </font>
      <numFmt numFmtId="0" formatCode="General"/>
      <fill>
        <patternFill patternType="solid">
          <bgColor rgb="FFFF0000"/>
        </patternFill>
      </fill>
      <alignment wrapText="0" readingOrder="0"/>
    </dxf>
  </rfmt>
  <rfmt sheetId="6" s="1" sqref="U1388" start="0" length="0">
    <dxf>
      <font>
        <b val="0"/>
        <sz val="11"/>
        <color theme="1"/>
        <name val="Calibri"/>
        <scheme val="minor"/>
      </font>
      <numFmt numFmtId="0" formatCode="General"/>
      <fill>
        <patternFill patternType="solid">
          <bgColor rgb="FFFF0000"/>
        </patternFill>
      </fill>
      <alignment wrapText="0" readingOrder="0"/>
    </dxf>
  </rfmt>
  <rcc rId="277" sId="6" odxf="1" s="1" dxf="1">
    <nc r="S1389" t="inlineStr">
      <is>
        <t>Construction of one drainage system of Brgy Catato</t>
      </is>
    </nc>
    <odxf>
      <font>
        <b/>
        <i val="0"/>
        <strike val="0"/>
        <condense val="0"/>
        <extend val="0"/>
        <outline val="0"/>
        <shadow val="0"/>
        <u val="none"/>
        <vertAlign val="baseline"/>
        <sz val="11"/>
        <color auto="1"/>
        <name val="Calibri"/>
        <scheme val="minor"/>
      </font>
      <numFmt numFmtId="164" formatCode="_(* #,##0_);_(* \(#,##0\);_(* &quot;-&quot;??_);_(@_)"/>
      <fill>
        <patternFill patternType="none">
          <fgColor indexed="64"/>
          <bgColor indexed="65"/>
        </patternFill>
      </fill>
      <alignment horizontal="general" vertical="bottom" textRotation="0" wrapText="1" indent="0" relativeIndent="0" justifyLastLine="0" shrinkToFit="0" mergeCell="0" readingOrder="0"/>
      <border diagonalUp="0" diagonalDown="0" outline="0">
        <left/>
        <right/>
        <top/>
        <bottom/>
      </border>
    </odxf>
    <ndxf>
      <font>
        <b val="0"/>
        <sz val="11"/>
        <color theme="1"/>
        <name val="Calibri"/>
        <scheme val="minor"/>
      </font>
      <numFmt numFmtId="0" formatCode="General"/>
      <alignment horizontal="center" readingOrder="0"/>
    </ndxf>
  </rcc>
  <rfmt sheetId="6" s="1" sqref="T1389" start="0" length="0">
    <dxf>
      <font>
        <b val="0"/>
        <sz val="11"/>
        <color theme="1"/>
        <name val="Calibri"/>
        <scheme val="minor"/>
      </font>
      <numFmt numFmtId="0" formatCode="General"/>
      <alignment horizontal="center" readingOrder="0"/>
    </dxf>
  </rfmt>
  <rfmt sheetId="6" s="1" sqref="U1389" start="0" length="0">
    <dxf>
      <font>
        <b val="0"/>
        <sz val="11"/>
        <color theme="1"/>
        <name val="Calibri"/>
        <scheme val="minor"/>
      </font>
      <numFmt numFmtId="0" formatCode="General"/>
      <alignment horizontal="center" readingOrder="0"/>
    </dxf>
  </rfmt>
  <rfmt sheetId="6" sqref="S1376:U1389">
    <dxf>
      <fill>
        <patternFill patternType="none">
          <bgColor auto="1"/>
        </patternFill>
      </fill>
    </dxf>
  </rfmt>
  <rfmt sheetId="6" sqref="Q2462" start="0" length="2147483647">
    <dxf>
      <font>
        <color rgb="FFFF0000"/>
      </font>
    </dxf>
  </rfmt>
  <rfmt sheetId="6" sqref="B2400:B2404">
    <dxf>
      <fill>
        <patternFill patternType="none">
          <bgColor auto="1"/>
        </patternFill>
      </fill>
    </dxf>
  </rfmt>
  <rfmt sheetId="6" sqref="Q2402:R2402" start="0" length="2147483647">
    <dxf>
      <font>
        <color rgb="FFFF0000"/>
      </font>
    </dxf>
  </rfmt>
  <rfmt sheetId="6" sqref="Q2497:R2497" start="0" length="2147483647">
    <dxf>
      <font>
        <color rgb="FFFF0000"/>
      </font>
    </dxf>
  </rfmt>
  <rfmt sheetId="6" sqref="Q2515:R2515" start="0" length="0">
    <dxf>
      <border>
        <bottom/>
      </border>
    </dxf>
  </rfmt>
  <rfmt sheetId="6" sqref="Q2613:R2613" start="0" length="0">
    <dxf>
      <border>
        <bottom/>
      </border>
    </dxf>
  </rfmt>
  <rrc rId="278" sId="6" ref="A932:XFD932" action="insertRow">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6" exp="area" ref3D="1" dr="$A$2744:$XFD$2744" dn="Z_5032F846_223D_4C05_81F5_66ECC60A941D_.wvu.Rows" sId="6"/>
    <undo index="4" exp="area" ref3D="1" dr="$A$2144:$XFD$2150" dn="Z_5032F846_223D_4C05_81F5_66ECC60A941D_.wvu.Rows" sId="6"/>
    <undo index="4" exp="area" ref3D="1" dr="$A$2744:$XFD$2744"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279" sId="6">
    <oc r="Q420">
      <f>SUM(Q423:Q460)+SUM(Q463:Q579)+SUM(Q582:Q676)+SUM(Q679:Q855)+SUM(Q857:Q884)+SUM(Q886:Q901)+SUM(Q934:Q967)+SUM(Q970:Q1022)+Q1077+Q1154+SUM(Q1156:Q1187)+SUM(Q1190:Q1201)+Q1304+SUM(Q1306:Q1392)+SUM(Q1437:Q1477)+Q1503+Q1504</f>
    </oc>
    <nc r="Q420">
      <f>SUM(Q423:Q460)+SUM(Q463:Q579)+SUM(Q582:Q676)+SUM(Q679:Q855)+SUM(Q857:Q884)+SUM(Q886:Q901)+SUM(Q934:Q967)+SUM(Q970:Q1022)+Q1077+Q1154+SUM(Q1156:Q1187)+SUM(Q1190:Q1201)+Q1241+Q1304+SUM(Q1306:Q1392)+SUM(Q1437:Q1477)+Q1503+Q1504</f>
    </nc>
  </rcc>
  <rcc rId="280" sId="6">
    <oc r="R420">
      <f>SUM(R423:R460)+SUM(R463:R579)+SUM(R582:R676)+SUM(R679:R855)+SUM(R857:R884)+SUM(R886:R901)+SUM(R934:R967)+SUM(R970:R1022)+R1077+R1154+SUM(R1156:R1187)+SUM(R1190:R1201)+R1304+SUM(R1306:R1392)+SUM(R1437:R1477)+R1503+R1504</f>
    </oc>
    <nc r="R420">
      <f>SUM(R423:R460)+SUM(R463:R579)+SUM(R582:R676)+SUM(R679:R855)+SUM(R857:R884)+SUM(R886:R901)+SUM(R934:R967)+SUM(R970:R1022)+R1077+R1154+SUM(R1156:R1187)+SUM(R1190:R1201)+R1241+R1304+SUM(R1306:R1392)+SUM(R1437:R1477)+R1503+R1504</f>
    </nc>
  </rcc>
  <rcc rId="281" sId="4" odxf="1" dxf="1" numFmtId="34">
    <oc r="R199">
      <v>175</v>
    </oc>
    <nc r="R199">
      <v>170</v>
    </nc>
    <odxf>
      <font>
        <b/>
        <color auto="1"/>
      </font>
    </odxf>
    <ndxf>
      <font>
        <b val="0"/>
        <color indexed="8"/>
      </font>
    </ndxf>
  </rcc>
  <rfmt sheetId="4" sqref="S199" start="0" length="0">
    <dxf>
      <font>
        <b val="0"/>
        <color indexed="8"/>
      </font>
    </dxf>
  </rfmt>
  <rcc rId="282" sId="4" odxf="1" dxf="1">
    <oc r="T199" t="inlineStr">
      <is>
        <t>scholars (on-going)</t>
      </is>
    </oc>
    <nc r="T199" t="inlineStr">
      <is>
        <t xml:space="preserve">35 scholars </t>
      </is>
    </nc>
    <odxf>
      <font>
        <b/>
        <color auto="1"/>
      </font>
      <alignment horizontal="left" wrapText="1" readingOrder="0"/>
    </odxf>
    <ndxf>
      <font>
        <b val="0"/>
        <color indexed="8"/>
      </font>
      <alignment horizontal="center" wrapText="0" readingOrder="0"/>
    </ndxf>
  </rcc>
  <rfmt sheetId="4" sqref="R205" start="0" length="0">
    <dxf>
      <font>
        <b val="0"/>
        <color indexed="8"/>
      </font>
    </dxf>
  </rfmt>
  <rcc rId="283" sId="4" odxf="1" dxf="1" numFmtId="34">
    <oc r="S205">
      <v>250</v>
    </oc>
    <nc r="S205">
      <v>1742</v>
    </nc>
    <odxf>
      <font>
        <b/>
        <color auto="1"/>
      </font>
    </odxf>
    <ndxf>
      <font>
        <b val="0"/>
        <color indexed="8"/>
      </font>
    </ndxf>
  </rcc>
  <rcc rId="284" sId="4" odxf="1" dxf="1">
    <oc r="T205">
      <v>50</v>
    </oc>
    <nc r="T205" t="inlineStr">
      <is>
        <t>458 scholars/student grantees</t>
      </is>
    </nc>
    <odxf>
      <font>
        <b/>
        <color auto="1"/>
      </font>
      <alignment horizontal="left" readingOrder="0"/>
    </odxf>
    <ndxf>
      <font>
        <b val="0"/>
        <color indexed="8"/>
      </font>
      <alignment horizontal="center" readingOrder="0"/>
    </ndxf>
  </rcc>
  <rfmt sheetId="4" sqref="R208" start="0" length="0">
    <dxf>
      <font>
        <b val="0"/>
        <color indexed="8"/>
      </font>
    </dxf>
  </rfmt>
  <rcc rId="285" sId="4" odxf="1" dxf="1" numFmtId="34">
    <oc r="S208">
      <v>4650</v>
    </oc>
    <nc r="S208">
      <v>4480</v>
    </nc>
    <odxf>
      <font>
        <b/>
        <color auto="1"/>
      </font>
    </odxf>
    <ndxf>
      <font>
        <b val="0"/>
        <color indexed="8"/>
      </font>
    </ndxf>
  </rcc>
  <rcc rId="286" sId="4" odxf="1" dxf="1" numFmtId="4">
    <oc r="T208">
      <v>4650</v>
    </oc>
    <nc r="T208" t="inlineStr">
      <is>
        <t>896 scholars</t>
      </is>
    </nc>
    <odxf>
      <font>
        <b/>
        <color auto="1"/>
      </font>
      <alignment horizontal="left" wrapText="1" readingOrder="0"/>
    </odxf>
    <ndxf>
      <font>
        <b val="0"/>
        <color indexed="8"/>
      </font>
      <alignment horizontal="center" wrapText="0" readingOrder="0"/>
    </ndxf>
  </rcc>
  <rfmt sheetId="4" sqref="R211" start="0" length="0">
    <dxf>
      <font>
        <b val="0"/>
        <color indexed="8"/>
      </font>
    </dxf>
  </rfmt>
  <rfmt sheetId="4" sqref="S211" start="0" length="0">
    <dxf>
      <font>
        <b val="0"/>
        <color indexed="8"/>
      </font>
    </dxf>
  </rfmt>
  <rfmt sheetId="4" sqref="T211" start="0" length="0">
    <dxf>
      <font>
        <b val="0"/>
        <color indexed="8"/>
      </font>
      <alignment wrapText="0" readingOrder="0"/>
    </dxf>
  </rfmt>
  <rrc rId="287" sId="4" ref="A709:XFD714"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288" sId="4" odxf="1" dxf="1">
    <nc r="B709" t="inlineStr">
      <is>
        <t xml:space="preserve">        Palo Leyte</t>
      </is>
    </nc>
    <odxf>
      <font>
        <color auto="1"/>
      </font>
      <fill>
        <patternFill patternType="none">
          <bgColor indexed="65"/>
        </patternFill>
      </fill>
      <alignment horizontal="left" vertical="top" wrapText="1" indent="3" relativeIndent="0" readingOrder="0"/>
    </odxf>
    <ndxf>
      <font>
        <sz val="11"/>
        <color theme="1"/>
        <name val="Calibri"/>
        <scheme val="minor"/>
      </font>
      <fill>
        <patternFill patternType="solid">
          <bgColor rgb="FFFF0000"/>
        </patternFill>
      </fill>
      <alignment horizontal="general" vertical="bottom" wrapText="0" indent="0" relativeIndent="0" readingOrder="0"/>
    </ndxf>
  </rcc>
  <rcc rId="289" sId="4" odxf="1" dxf="1">
    <nc r="B710" t="inlineStr">
      <is>
        <t xml:space="preserve">        Javier Leyte</t>
      </is>
    </nc>
    <odxf>
      <font>
        <color auto="1"/>
      </font>
      <alignment horizontal="left" vertical="top" wrapText="1" indent="3" relativeIndent="0" readingOrder="0"/>
    </odxf>
    <ndxf>
      <font>
        <sz val="11"/>
        <color theme="1"/>
        <name val="Calibri"/>
        <scheme val="minor"/>
      </font>
      <alignment horizontal="general" vertical="bottom" wrapText="0" indent="0" relativeIndent="0" readingOrder="0"/>
    </ndxf>
  </rcc>
  <rcc rId="290" sId="4" odxf="1" dxf="1">
    <nc r="B711" t="inlineStr">
      <is>
        <t xml:space="preserve">        Matalom Leyte</t>
      </is>
    </nc>
    <odxf>
      <font>
        <color auto="1"/>
      </font>
      <alignment horizontal="left" vertical="top" wrapText="1" indent="3" relativeIndent="0" readingOrder="0"/>
    </odxf>
    <ndxf>
      <font>
        <sz val="11"/>
        <color theme="1"/>
        <name val="Calibri"/>
        <scheme val="minor"/>
      </font>
      <alignment horizontal="general" vertical="bottom" wrapText="0" indent="0" relativeIndent="0" readingOrder="0"/>
    </ndxf>
  </rcc>
  <rcc rId="291" sId="4" odxf="1" dxf="1">
    <nc r="B712" t="inlineStr">
      <is>
        <t xml:space="preserve">       Tolosa Leyte</t>
      </is>
    </nc>
    <odxf>
      <font>
        <color auto="1"/>
      </font>
      <fill>
        <patternFill patternType="none">
          <bgColor indexed="65"/>
        </patternFill>
      </fill>
      <alignment horizontal="left" vertical="top" wrapText="1" indent="3" relativeIndent="0" readingOrder="0"/>
    </odxf>
    <ndxf>
      <font>
        <sz val="11"/>
        <color theme="1"/>
        <name val="Calibri"/>
        <scheme val="minor"/>
      </font>
      <fill>
        <patternFill patternType="solid">
          <bgColor rgb="FFFF0000"/>
        </patternFill>
      </fill>
      <alignment horizontal="general" vertical="bottom" wrapText="0" indent="0" relativeIndent="0" readingOrder="0"/>
    </ndxf>
  </rcc>
  <rcc rId="292" sId="4" odxf="1" dxf="1">
    <nc r="B713" t="inlineStr">
      <is>
        <t xml:space="preserve">        Hinabangan Samar</t>
      </is>
    </nc>
    <odxf>
      <font>
        <color auto="1"/>
      </font>
      <fill>
        <patternFill patternType="none">
          <bgColor indexed="65"/>
        </patternFill>
      </fill>
      <alignment horizontal="left" vertical="top" wrapText="1" indent="3" relativeIndent="0" readingOrder="0"/>
    </odxf>
    <ndxf>
      <font>
        <sz val="11"/>
        <color theme="1"/>
        <name val="Calibri"/>
        <scheme val="minor"/>
      </font>
      <fill>
        <patternFill patternType="solid">
          <bgColor rgb="FFFF0000"/>
        </patternFill>
      </fill>
      <alignment horizontal="general" vertical="bottom" wrapText="0" indent="0" relativeIndent="0" readingOrder="0"/>
    </ndxf>
  </rcc>
  <rfmt sheetId="4" sqref="B709:B713">
    <dxf>
      <fill>
        <patternFill patternType="none">
          <bgColor auto="1"/>
        </patternFill>
      </fill>
    </dxf>
  </rfmt>
  <rcc rId="293" sId="4" odxf="1" dxf="1">
    <nc r="T710" t="inlineStr">
      <is>
        <t>Medicines and medical supplies</t>
      </is>
    </nc>
    <odxf>
      <font>
        <b/>
        <color auto="1"/>
      </font>
      <alignment horizontal="left" vertical="top" wrapText="1" readingOrder="0"/>
    </odxf>
    <ndxf>
      <font>
        <b val="0"/>
        <sz val="11"/>
        <color theme="1"/>
        <name val="Calibri"/>
        <scheme val="minor"/>
      </font>
      <alignment horizontal="general" vertical="bottom" wrapText="0" readingOrder="0"/>
    </ndxf>
  </rcc>
  <rcc rId="294" sId="4" odxf="1" dxf="1">
    <nc r="T711" t="inlineStr">
      <is>
        <t>Medicines for medical missions</t>
      </is>
    </nc>
    <odxf>
      <font>
        <b/>
        <color auto="1"/>
      </font>
      <alignment horizontal="left" vertical="top" wrapText="1" readingOrder="0"/>
    </odxf>
    <ndxf>
      <font>
        <b val="0"/>
        <sz val="11"/>
        <color theme="1"/>
        <name val="Calibri"/>
        <scheme val="minor"/>
      </font>
      <alignment horizontal="general" vertical="bottom" wrapText="0" readingOrder="0"/>
    </ndxf>
  </rcc>
  <rrc rId="295" sId="4" ref="A733:XFD736"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296" sId="4" odxf="1" dxf="1">
    <nc r="B733" t="inlineStr">
      <is>
        <t xml:space="preserve">      Matuguinao, Samar</t>
      </is>
    </nc>
    <odxf>
      <font>
        <color auto="1"/>
      </font>
      <fill>
        <patternFill patternType="none">
          <bgColor indexed="65"/>
        </patternFill>
      </fill>
      <alignment wrapText="1" indent="3" relativeIndent="0" readingOrder="0"/>
    </odxf>
    <ndxf>
      <font>
        <sz val="10"/>
        <color auto="1"/>
        <name val="Arial"/>
        <scheme val="none"/>
      </font>
      <fill>
        <patternFill patternType="solid">
          <bgColor rgb="FFFF0000"/>
        </patternFill>
      </fill>
      <alignment wrapText="0" indent="0" relativeIndent="0" readingOrder="0"/>
    </ndxf>
  </rcc>
  <rcc rId="297" sId="4" odxf="1" dxf="1">
    <nc r="B734" t="inlineStr">
      <is>
        <t xml:space="preserve">      Almagro, Samar</t>
      </is>
    </nc>
    <odxf>
      <font>
        <color auto="1"/>
      </font>
      <fill>
        <patternFill patternType="none">
          <bgColor indexed="65"/>
        </patternFill>
      </fill>
      <alignment wrapText="1" indent="3" relativeIndent="0" readingOrder="0"/>
    </odxf>
    <ndxf>
      <font>
        <sz val="10"/>
        <color auto="1"/>
        <name val="Arial"/>
        <scheme val="none"/>
      </font>
      <fill>
        <patternFill patternType="solid">
          <bgColor rgb="FFFF0000"/>
        </patternFill>
      </fill>
      <alignment wrapText="0" indent="0" relativeIndent="0" readingOrder="0"/>
    </ndxf>
  </rcc>
  <rcc rId="298" sId="4" odxf="1" dxf="1">
    <nc r="B735" t="inlineStr">
      <is>
        <t xml:space="preserve">      Tarangnan, Samar</t>
      </is>
    </nc>
    <odxf>
      <font>
        <color auto="1"/>
      </font>
      <fill>
        <patternFill patternType="none">
          <bgColor indexed="65"/>
        </patternFill>
      </fill>
      <alignment wrapText="1" indent="3" relativeIndent="0" readingOrder="0"/>
    </odxf>
    <ndxf>
      <font>
        <sz val="10"/>
        <color auto="1"/>
        <name val="Arial"/>
        <scheme val="none"/>
      </font>
      <fill>
        <patternFill patternType="solid">
          <bgColor rgb="FFFF0000"/>
        </patternFill>
      </fill>
      <alignment wrapText="0" indent="0" relativeIndent="0" readingOrder="0"/>
    </ndxf>
  </rcc>
  <rfmt sheetId="4" sqref="B733:B735">
    <dxf>
      <fill>
        <patternFill patternType="none">
          <bgColor auto="1"/>
        </patternFill>
      </fill>
    </dxf>
  </rfmt>
  <rrc rId="299" sId="4" ref="A961:XFD965"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300" sId="4" odxf="1" dxf="1">
    <nc r="B961" t="inlineStr">
      <is>
        <t>Province of Biliran</t>
      </is>
    </nc>
    <odxf>
      <fill>
        <patternFill patternType="none">
          <bgColor indexed="65"/>
        </patternFill>
      </fill>
      <alignment horizontal="left" wrapText="1" indent="3" relativeIndent="0" readingOrder="0"/>
    </odxf>
    <ndxf>
      <fill>
        <patternFill patternType="solid">
          <bgColor rgb="FFFFFF00"/>
        </patternFill>
      </fill>
      <alignment horizontal="general" wrapText="0" indent="0" relativeIndent="0" readingOrder="0"/>
    </ndxf>
  </rcc>
  <rcc rId="301" sId="4" odxf="1" dxf="1">
    <nc r="B962" t="inlineStr">
      <is>
        <t>Tolosa Leyte</t>
      </is>
    </nc>
    <odxf>
      <fill>
        <patternFill patternType="none">
          <bgColor indexed="65"/>
        </patternFill>
      </fill>
      <alignment horizontal="left" wrapText="1" indent="3" relativeIndent="0" readingOrder="0"/>
    </odxf>
    <ndxf>
      <fill>
        <patternFill patternType="solid">
          <bgColor rgb="FFFFFF00"/>
        </patternFill>
      </fill>
      <alignment horizontal="general" wrapText="0" indent="0" relativeIndent="0" readingOrder="0"/>
    </ndxf>
  </rcc>
  <rcc rId="302" sId="4" odxf="1" dxf="1">
    <nc r="B963" t="inlineStr">
      <is>
        <t>Javier Leyte</t>
      </is>
    </nc>
    <odxf>
      <alignment horizontal="left" wrapText="1" indent="3" relativeIndent="0" readingOrder="0"/>
    </odxf>
    <ndxf>
      <alignment horizontal="general" wrapText="0" indent="0" relativeIndent="0" readingOrder="0"/>
    </ndxf>
  </rcc>
  <rcc rId="303" sId="4" odxf="1" dxf="1">
    <nc r="B964" t="inlineStr">
      <is>
        <t>Matalom Leyte</t>
      </is>
    </nc>
    <odxf>
      <alignment horizontal="left" wrapText="1" indent="3" relativeIndent="0" readingOrder="0"/>
    </odxf>
    <ndxf>
      <alignment horizontal="general" wrapText="0" indent="0" relativeIndent="0" readingOrder="0"/>
    </ndxf>
  </rcc>
  <rfmt sheetId="4" sqref="B961:B964">
    <dxf>
      <fill>
        <patternFill patternType="none">
          <bgColor auto="1"/>
        </patternFill>
      </fill>
    </dxf>
  </rfmt>
  <rfmt sheetId="4" sqref="B961:B964" start="0" length="0">
    <dxf>
      <alignment horizontal="left" indent="1" relativeIndent="1" readingOrder="0"/>
    </dxf>
  </rfmt>
  <rfmt sheetId="4" sqref="B961:B964" start="0" length="0">
    <dxf>
      <alignment indent="2" relativeIndent="1" readingOrder="0"/>
    </dxf>
  </rfmt>
  <rfmt sheetId="4" sqref="B961:B964" start="0" length="0">
    <dxf>
      <alignment indent="3" relativeIndent="1" readingOrder="0"/>
    </dxf>
  </rfmt>
  <rfmt sheetId="4" sqref="B961:B964" start="0" length="0">
    <dxf>
      <alignment indent="4" relativeIndent="1" readingOrder="0"/>
    </dxf>
  </rfmt>
  <rfmt sheetId="4" sqref="B961:B964" start="0" length="0">
    <dxf>
      <alignment indent="5" relativeIndent="1" readingOrder="0"/>
    </dxf>
  </rfmt>
  <rcc rId="304" sId="4" odxf="1" dxf="1" numFmtId="34">
    <nc r="R961">
      <v>1000</v>
    </nc>
    <odxf>
      <font>
        <b/>
        <sz val="11"/>
        <name val="Calibri"/>
        <scheme val="minor"/>
      </font>
      <fill>
        <patternFill patternType="none">
          <bgColor indexed="65"/>
        </patternFill>
      </fill>
    </odxf>
    <ndxf>
      <font>
        <b val="0"/>
        <sz val="11"/>
        <name val="Calibri"/>
        <scheme val="none"/>
      </font>
      <fill>
        <patternFill patternType="solid">
          <bgColor rgb="FFFFFF00"/>
        </patternFill>
      </fill>
    </ndxf>
  </rcc>
  <rcc rId="305" sId="4" odxf="1" dxf="1" numFmtId="34">
    <nc r="S961">
      <v>1000</v>
    </nc>
    <odxf>
      <font>
        <b/>
        <sz val="11"/>
        <name val="Calibri"/>
        <scheme val="minor"/>
      </font>
      <fill>
        <patternFill patternType="none">
          <bgColor indexed="65"/>
        </patternFill>
      </fill>
    </odxf>
    <ndxf>
      <font>
        <b val="0"/>
        <sz val="11"/>
        <name val="Calibri"/>
        <scheme val="none"/>
      </font>
      <fill>
        <patternFill patternType="solid">
          <bgColor rgb="FFFFFF00"/>
        </patternFill>
      </fill>
    </ndxf>
  </rcc>
  <rfmt sheetId="4" sqref="T961" start="0" length="0">
    <dxf>
      <font>
        <b val="0"/>
        <color auto="1"/>
      </font>
      <fill>
        <patternFill patternType="solid">
          <bgColor rgb="FFFFFF00"/>
        </patternFill>
      </fill>
      <alignment horizontal="general" wrapText="0" readingOrder="0"/>
    </dxf>
  </rfmt>
  <rcc rId="306" sId="4" odxf="1" dxf="1" numFmtId="34">
    <nc r="R962">
      <v>500</v>
    </nc>
    <odxf>
      <font>
        <b/>
        <sz val="11"/>
        <name val="Calibri"/>
        <scheme val="minor"/>
      </font>
      <fill>
        <patternFill patternType="none">
          <bgColor indexed="65"/>
        </patternFill>
      </fill>
    </odxf>
    <ndxf>
      <font>
        <b val="0"/>
        <sz val="11"/>
        <name val="Calibri"/>
        <scheme val="none"/>
      </font>
      <fill>
        <patternFill patternType="solid">
          <bgColor rgb="FFFFFF00"/>
        </patternFill>
      </fill>
    </ndxf>
  </rcc>
  <rcc rId="307" sId="4" odxf="1" dxf="1" numFmtId="34">
    <nc r="S962">
      <v>500</v>
    </nc>
    <odxf>
      <font>
        <b/>
        <sz val="11"/>
        <name val="Calibri"/>
        <scheme val="minor"/>
      </font>
      <fill>
        <patternFill patternType="none">
          <bgColor indexed="65"/>
        </patternFill>
      </fill>
    </odxf>
    <ndxf>
      <font>
        <b val="0"/>
        <sz val="11"/>
        <name val="Calibri"/>
        <scheme val="none"/>
      </font>
      <fill>
        <patternFill patternType="solid">
          <bgColor rgb="FFFFFF00"/>
        </patternFill>
      </fill>
    </ndxf>
  </rcc>
  <rfmt sheetId="4" sqref="T962" start="0" length="0">
    <dxf>
      <font>
        <b val="0"/>
        <color auto="1"/>
      </font>
      <fill>
        <patternFill patternType="solid">
          <bgColor rgb="FFFFFF00"/>
        </patternFill>
      </fill>
      <alignment horizontal="general" wrapText="0" readingOrder="0"/>
    </dxf>
  </rfmt>
  <rcc rId="308" sId="4" odxf="1" dxf="1" numFmtId="34">
    <nc r="R963">
      <v>500</v>
    </nc>
    <odxf>
      <font>
        <b/>
        <sz val="11"/>
        <name val="Calibri"/>
        <scheme val="minor"/>
      </font>
    </odxf>
    <ndxf>
      <font>
        <b val="0"/>
        <sz val="11"/>
        <name val="Calibri"/>
        <scheme val="none"/>
      </font>
    </ndxf>
  </rcc>
  <rcc rId="309" sId="4" odxf="1" dxf="1" numFmtId="34">
    <nc r="S963">
      <v>500</v>
    </nc>
    <odxf>
      <font>
        <b/>
        <sz val="11"/>
        <name val="Calibri"/>
        <scheme val="minor"/>
      </font>
    </odxf>
    <ndxf>
      <font>
        <b val="0"/>
        <sz val="11"/>
        <name val="Calibri"/>
        <scheme val="none"/>
      </font>
    </ndxf>
  </rcc>
  <rcc rId="310" sId="4" odxf="1" dxf="1">
    <nc r="T963" t="inlineStr">
      <is>
        <t>Medicines and medical supplies</t>
      </is>
    </nc>
    <odxf>
      <font>
        <b/>
        <color auto="1"/>
      </font>
      <alignment horizontal="left" wrapText="1" readingOrder="0"/>
    </odxf>
    <ndxf>
      <font>
        <b val="0"/>
        <color auto="1"/>
      </font>
      <alignment horizontal="general" wrapText="0" readingOrder="0"/>
    </ndxf>
  </rcc>
  <rcc rId="311" sId="4" odxf="1" dxf="1" numFmtId="34">
    <nc r="R964">
      <v>500</v>
    </nc>
    <odxf>
      <font>
        <b/>
        <sz val="11"/>
        <name val="Calibri"/>
        <scheme val="minor"/>
      </font>
    </odxf>
    <ndxf>
      <font>
        <b val="0"/>
        <sz val="11"/>
        <name val="Calibri"/>
        <scheme val="none"/>
      </font>
    </ndxf>
  </rcc>
  <rcc rId="312" sId="4" odxf="1" dxf="1" numFmtId="34">
    <nc r="S964">
      <v>500</v>
    </nc>
    <odxf>
      <font>
        <b/>
        <sz val="11"/>
        <name val="Calibri"/>
        <scheme val="minor"/>
      </font>
    </odxf>
    <ndxf>
      <font>
        <b val="0"/>
        <sz val="11"/>
        <name val="Calibri"/>
        <scheme val="none"/>
      </font>
    </ndxf>
  </rcc>
  <rcc rId="313" sId="4" odxf="1" dxf="1">
    <nc r="T964" t="inlineStr">
      <is>
        <t>Medicines for medical missions</t>
      </is>
    </nc>
    <odxf>
      <font>
        <b/>
        <color auto="1"/>
      </font>
      <alignment horizontal="left" wrapText="1" readingOrder="0"/>
    </odxf>
    <ndxf>
      <font>
        <b val="0"/>
        <color auto="1"/>
      </font>
      <alignment horizontal="general" wrapText="0" readingOrder="0"/>
    </ndxf>
  </rcc>
  <rcc rId="314" sId="4">
    <oc r="R960">
      <v>2500</v>
    </oc>
    <nc r="R960">
      <f>SUM(R961:R964)</f>
    </nc>
  </rcc>
  <rcc rId="315" sId="4" numFmtId="34">
    <oc r="S960">
      <v>2500</v>
    </oc>
    <nc r="S960">
      <f>SUM(S961:S964)</f>
    </nc>
  </rcc>
  <rfmt sheetId="4" sqref="R960:S960" start="0" length="0">
    <dxf>
      <border>
        <bottom style="thin">
          <color indexed="64"/>
        </bottom>
      </border>
    </dxf>
  </rfmt>
  <rfmt sheetId="4" sqref="R961:T961">
    <dxf>
      <fill>
        <patternFill patternType="none">
          <bgColor auto="1"/>
        </patternFill>
      </fill>
    </dxf>
  </rfmt>
  <rfmt sheetId="4" sqref="A961:XFD963">
    <dxf>
      <fill>
        <patternFill patternType="none">
          <bgColor auto="1"/>
        </patternFill>
      </fill>
    </dxf>
  </rfmt>
  <rrc rId="316" sId="4" ref="A967:XFD982"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317" sId="4" odxf="1" dxf="1">
    <nc r="B967" t="inlineStr">
      <is>
        <t>Catbalogan City</t>
      </is>
    </nc>
    <odxf>
      <fill>
        <patternFill patternType="none">
          <bgColor indexed="65"/>
        </patternFill>
      </fill>
      <alignment horizontal="left" wrapText="1" indent="3" relativeIndent="0" readingOrder="0"/>
    </odxf>
    <ndxf>
      <fill>
        <patternFill patternType="solid">
          <bgColor rgb="FFFFFF00"/>
        </patternFill>
      </fill>
      <alignment horizontal="general" wrapText="0" indent="0" relativeIndent="0" readingOrder="0"/>
    </ndxf>
  </rcc>
  <rcc rId="318" sId="4" odxf="1" dxf="1">
    <nc r="B968" t="inlineStr">
      <is>
        <t>Daram Samar</t>
      </is>
    </nc>
    <odxf>
      <alignment horizontal="left" wrapText="1" indent="3" relativeIndent="0" readingOrder="0"/>
    </odxf>
    <ndxf>
      <alignment horizontal="general" wrapText="0" indent="0" relativeIndent="0" readingOrder="0"/>
    </ndxf>
  </rcc>
  <rcc rId="319" sId="4" odxf="1" dxf="1">
    <nc r="B969" t="inlineStr">
      <is>
        <t>Almagro Samar</t>
      </is>
    </nc>
    <odxf>
      <fill>
        <patternFill patternType="none">
          <bgColor indexed="65"/>
        </patternFill>
      </fill>
      <alignment horizontal="left" wrapText="1" indent="3" relativeIndent="0" readingOrder="0"/>
    </odxf>
    <ndxf>
      <fill>
        <patternFill patternType="solid">
          <bgColor rgb="FFFFFF00"/>
        </patternFill>
      </fill>
      <alignment horizontal="general" wrapText="0" indent="0" relativeIndent="0" readingOrder="0"/>
    </ndxf>
  </rcc>
  <rcc rId="320" sId="4" odxf="1" dxf="1">
    <nc r="B970" t="inlineStr">
      <is>
        <t>Basey Samar</t>
      </is>
    </nc>
    <odxf>
      <alignment horizontal="left" wrapText="1" indent="3" relativeIndent="0" readingOrder="0"/>
    </odxf>
    <ndxf>
      <alignment horizontal="general" wrapText="0" indent="0" relativeIndent="0" readingOrder="0"/>
    </ndxf>
  </rcc>
  <rcc rId="321" sId="4" odxf="1" dxf="1">
    <nc r="B971" t="inlineStr">
      <is>
        <t>Gandara Samar</t>
      </is>
    </nc>
    <odxf>
      <alignment horizontal="left" wrapText="1" indent="3" relativeIndent="0" readingOrder="0"/>
    </odxf>
    <ndxf>
      <alignment horizontal="general" wrapText="0" indent="0" relativeIndent="0" readingOrder="0"/>
    </ndxf>
  </rcc>
  <rcc rId="322" sId="4" odxf="1" dxf="1">
    <nc r="B972" t="inlineStr">
      <is>
        <t>Jiabong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23" sId="4" odxf="1" dxf="1">
    <nc r="B973" t="inlineStr">
      <is>
        <t>Marabut Samar</t>
      </is>
    </nc>
    <odxf>
      <alignment horizontal="left" wrapText="1" indent="3" relativeIndent="0" readingOrder="0"/>
    </odxf>
    <ndxf>
      <alignment horizontal="general" wrapText="0" indent="0" relativeIndent="0" readingOrder="0"/>
    </ndxf>
  </rcc>
  <rcc rId="324" sId="4" odxf="1" dxf="1">
    <nc r="B974" t="inlineStr">
      <is>
        <t>Pagsanghan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25" sId="4" odxf="1" dxf="1">
    <nc r="B975" t="inlineStr">
      <is>
        <t>San Jorge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26" sId="4" odxf="1" dxf="1">
    <nc r="B976" t="inlineStr">
      <is>
        <t>San Jose de Buan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27" sId="4" odxf="1" dxf="1">
    <nc r="B977" t="inlineStr">
      <is>
        <t>Sta. Margarita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28" sId="4" odxf="1" dxf="1">
    <nc r="B978" t="inlineStr">
      <is>
        <t>Sta. Rita Samar</t>
      </is>
    </nc>
    <odxf>
      <alignment horizontal="left" wrapText="1" indent="3" relativeIndent="0" readingOrder="0"/>
    </odxf>
    <ndxf>
      <alignment horizontal="general" wrapText="0" indent="0" relativeIndent="0" readingOrder="0"/>
    </ndxf>
  </rcc>
  <rcc rId="329" sId="4" odxf="1" dxf="1">
    <nc r="B979" t="inlineStr">
      <is>
        <t>Sto. Nino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30" sId="4" odxf="1" dxf="1">
    <nc r="B980" t="inlineStr">
      <is>
        <t>Tarangnan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31" sId="4" odxf="1" dxf="1">
    <nc r="B981" t="inlineStr">
      <is>
        <t>Villareal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fmt sheetId="4" sqref="B967:B981">
    <dxf>
      <fill>
        <patternFill patternType="none">
          <bgColor auto="1"/>
        </patternFill>
      </fill>
    </dxf>
  </rfmt>
  <rfmt sheetId="4" sqref="B967:B981" start="0" length="0">
    <dxf>
      <alignment horizontal="left" indent="1" relativeIndent="1" readingOrder="0"/>
    </dxf>
  </rfmt>
  <rfmt sheetId="4" sqref="B967:B981" start="0" length="0">
    <dxf>
      <alignment indent="2" relativeIndent="1" readingOrder="0"/>
    </dxf>
  </rfmt>
  <rfmt sheetId="4" sqref="B967:B981" start="0" length="0">
    <dxf>
      <alignment indent="3" relativeIndent="1" readingOrder="0"/>
    </dxf>
  </rfmt>
  <rfmt sheetId="4" sqref="B967:B981" start="0" length="0">
    <dxf>
      <alignment indent="4" relativeIndent="1" readingOrder="0"/>
    </dxf>
  </rfmt>
  <rfmt sheetId="4" sqref="B967:B981" start="0" length="0">
    <dxf>
      <alignment indent="5" relativeIndent="1" readingOrder="0"/>
    </dxf>
  </rfmt>
  <rfmt sheetId="4" sqref="T967" start="0" length="0">
    <dxf>
      <font>
        <b val="0"/>
        <color auto="1"/>
      </font>
      <fill>
        <patternFill patternType="solid">
          <bgColor rgb="FFFFFF00"/>
        </patternFill>
      </fill>
      <alignment horizontal="general" wrapText="0" readingOrder="0"/>
    </dxf>
  </rfmt>
  <rcc rId="332" sId="4" odxf="1" dxf="1">
    <nc r="T968" t="inlineStr">
      <is>
        <t>416 member Philhealth premiums</t>
      </is>
    </nc>
    <odxf>
      <font>
        <b/>
        <color auto="1"/>
      </font>
      <alignment horizontal="left" wrapText="1" readingOrder="0"/>
    </odxf>
    <ndxf>
      <font>
        <b val="0"/>
        <color auto="1"/>
      </font>
      <alignment horizontal="general" wrapText="0" readingOrder="0"/>
    </ndxf>
  </rcc>
  <rfmt sheetId="4" sqref="T969" start="0" length="0">
    <dxf>
      <font>
        <b val="0"/>
        <color auto="1"/>
      </font>
      <fill>
        <patternFill patternType="solid">
          <bgColor rgb="FFFFFF00"/>
        </patternFill>
      </fill>
      <alignment horizontal="general" wrapText="0" readingOrder="0"/>
    </dxf>
  </rfmt>
  <rcc rId="333" sId="4" odxf="1" dxf="1">
    <nc r="T970" t="inlineStr">
      <is>
        <t>682 member Philhealth premiums</t>
      </is>
    </nc>
    <odxf>
      <font>
        <b/>
        <color auto="1"/>
      </font>
      <alignment horizontal="left" wrapText="1" readingOrder="0"/>
    </odxf>
    <ndxf>
      <font>
        <b val="0"/>
        <color auto="1"/>
      </font>
      <alignment horizontal="general" wrapText="0" readingOrder="0"/>
    </ndxf>
  </rcc>
  <rcc rId="334" sId="4" odxf="1" dxf="1">
    <nc r="T971" t="inlineStr">
      <is>
        <t>416 member Philhealth premiums</t>
      </is>
    </nc>
    <odxf>
      <font>
        <b/>
        <color auto="1"/>
      </font>
      <alignment horizontal="left" wrapText="1" readingOrder="0"/>
    </odxf>
    <ndxf>
      <font>
        <b val="0"/>
        <color auto="1"/>
      </font>
      <alignment horizontal="general" wrapText="0" readingOrder="0"/>
    </ndxf>
  </rcc>
  <rfmt sheetId="4" sqref="T972" start="0" length="0">
    <dxf>
      <font>
        <b val="0"/>
        <color auto="1"/>
      </font>
      <fill>
        <patternFill patternType="solid">
          <bgColor rgb="FFFF0000"/>
        </patternFill>
      </fill>
      <alignment horizontal="general" wrapText="0" readingOrder="0"/>
    </dxf>
  </rfmt>
  <rcc rId="335" sId="4" odxf="1" dxf="1">
    <nc r="T973" t="inlineStr">
      <is>
        <t>500 member Philhealth premiums</t>
      </is>
    </nc>
    <odxf>
      <font>
        <b/>
        <color auto="1"/>
      </font>
      <alignment horizontal="left" wrapText="1" readingOrder="0"/>
    </odxf>
    <ndxf>
      <font>
        <b val="0"/>
        <color auto="1"/>
      </font>
      <alignment horizontal="general" wrapText="0" readingOrder="0"/>
    </ndxf>
  </rcc>
  <rfmt sheetId="4" sqref="T974" start="0" length="0">
    <dxf>
      <font>
        <b val="0"/>
        <color auto="1"/>
      </font>
      <fill>
        <patternFill patternType="solid">
          <bgColor rgb="FFFF0000"/>
        </patternFill>
      </fill>
      <alignment horizontal="general" wrapText="0" readingOrder="0"/>
    </dxf>
  </rfmt>
  <rfmt sheetId="4" sqref="T975" start="0" length="0">
    <dxf>
      <font>
        <b val="0"/>
        <color auto="1"/>
      </font>
      <fill>
        <patternFill patternType="solid">
          <bgColor rgb="FFFF0000"/>
        </patternFill>
      </fill>
      <alignment horizontal="general" wrapText="0" readingOrder="0"/>
    </dxf>
  </rfmt>
  <rfmt sheetId="4" sqref="T976" start="0" length="0">
    <dxf>
      <font>
        <b val="0"/>
        <color auto="1"/>
      </font>
      <fill>
        <patternFill patternType="solid">
          <bgColor rgb="FFFF0000"/>
        </patternFill>
      </fill>
      <alignment horizontal="general" wrapText="0" readingOrder="0"/>
    </dxf>
  </rfmt>
  <rfmt sheetId="4" sqref="T977" start="0" length="0">
    <dxf>
      <font>
        <b val="0"/>
        <color auto="1"/>
      </font>
      <fill>
        <patternFill patternType="solid">
          <bgColor rgb="FFFF0000"/>
        </patternFill>
      </fill>
      <alignment horizontal="general" wrapText="0" readingOrder="0"/>
    </dxf>
  </rfmt>
  <rcc rId="336" sId="4" odxf="1" dxf="1">
    <nc r="T978" t="inlineStr">
      <is>
        <t>416 member Philhealth premiums</t>
      </is>
    </nc>
    <odxf>
      <font>
        <b/>
        <color auto="1"/>
      </font>
      <alignment horizontal="left" wrapText="1" readingOrder="0"/>
    </odxf>
    <ndxf>
      <font>
        <b val="0"/>
        <color auto="1"/>
      </font>
      <alignment horizontal="general" wrapText="0" readingOrder="0"/>
    </ndxf>
  </rcc>
  <rfmt sheetId="4" sqref="T979" start="0" length="0">
    <dxf>
      <font>
        <b val="0"/>
        <color auto="1"/>
      </font>
      <fill>
        <patternFill patternType="solid">
          <bgColor rgb="FFFF0000"/>
        </patternFill>
      </fill>
      <alignment horizontal="general" wrapText="0" readingOrder="0"/>
    </dxf>
  </rfmt>
  <rfmt sheetId="4" sqref="T980" start="0" length="0">
    <dxf>
      <font>
        <b val="0"/>
        <color auto="1"/>
      </font>
      <fill>
        <patternFill patternType="solid">
          <bgColor rgb="FFFF0000"/>
        </patternFill>
      </fill>
      <alignment horizontal="general" wrapText="0" readingOrder="0"/>
    </dxf>
  </rfmt>
  <rfmt sheetId="4" sqref="T981" start="0" length="0">
    <dxf>
      <font>
        <b val="0"/>
        <color auto="1"/>
      </font>
      <fill>
        <patternFill patternType="solid">
          <bgColor rgb="FFFF0000"/>
        </patternFill>
      </fill>
      <alignment horizontal="general" wrapText="0" readingOrder="0"/>
    </dxf>
  </rfmt>
  <rfmt sheetId="4" sqref="T967:T981">
    <dxf>
      <fill>
        <patternFill patternType="none">
          <bgColor auto="1"/>
        </patternFill>
      </fill>
    </dxf>
  </rfmt>
  <rcc rId="337" sId="4" odxf="1" dxf="1">
    <nc r="T1003" t="inlineStr">
      <is>
        <t>Repainting of multi purpose building</t>
      </is>
    </nc>
    <odxf>
      <font>
        <b/>
        <color auto="1"/>
      </font>
      <alignment horizontal="left" readingOrder="0"/>
    </odxf>
    <ndxf>
      <font>
        <b val="0"/>
        <sz val="9"/>
        <color auto="1"/>
      </font>
      <alignment horizontal="center" readingOrder="0"/>
    </ndxf>
  </rcc>
  <rcc rId="338" sId="4" odxf="1" dxf="1">
    <nc r="T1029" t="inlineStr">
      <is>
        <t>Procured medicines for indigent patients @Felipe Abrigo Memorial Hospital</t>
      </is>
    </nc>
    <odxf>
      <font>
        <b/>
        <color auto="1"/>
      </font>
      <alignment horizontal="left" readingOrder="0"/>
    </odxf>
    <ndxf>
      <font>
        <b val="0"/>
        <sz val="8"/>
        <color auto="1"/>
      </font>
      <alignment horizontal="general" readingOrder="0"/>
    </ndxf>
  </rcc>
  <rrc rId="339" sId="4" ref="A1093:XFD1101"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340" sId="4" odxf="1" dxf="1">
    <nc r="B1093" t="inlineStr">
      <is>
        <t>Balangiga E. Samar</t>
      </is>
    </nc>
    <odxf>
      <alignment horizontal="left" wrapText="1" indent="3" relativeIndent="0" readingOrder="0"/>
    </odxf>
    <ndxf>
      <alignment horizontal="general" wrapText="0" indent="0" relativeIndent="0" readingOrder="0"/>
    </ndxf>
  </rcc>
  <rcc rId="341" sId="4" odxf="1" dxf="1">
    <nc r="B1094" t="inlineStr">
      <is>
        <t>Almeria Biliran</t>
      </is>
    </nc>
    <odxf>
      <alignment horizontal="left" wrapText="1" indent="3" relativeIndent="0" readingOrder="0"/>
    </odxf>
    <ndxf>
      <alignment horizontal="general" wrapText="0" indent="0" relativeIndent="0" readingOrder="0"/>
    </ndxf>
  </rcc>
  <rcc rId="342" sId="4" odxf="1" dxf="1">
    <nc r="B1095" t="inlineStr">
      <is>
        <t>Biliran Biliran</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43" sId="4" odxf="1" dxf="1">
    <nc r="B1096" t="inlineStr">
      <is>
        <t>Cabucgayan Biliran</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44" sId="4" odxf="1" dxf="1">
    <nc r="B1097" t="inlineStr">
      <is>
        <t>Maripipi Biliran</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45" sId="4" odxf="1" dxf="1">
    <nc r="B1098" t="inlineStr">
      <is>
        <t>Albuera Leyte</t>
      </is>
    </nc>
    <odxf>
      <alignment horizontal="left" wrapText="1" indent="3" relativeIndent="0" readingOrder="0"/>
    </odxf>
    <ndxf>
      <alignment horizontal="general" wrapText="0" indent="0" relativeIndent="0" readingOrder="0"/>
    </ndxf>
  </rcc>
  <rcc rId="346" sId="4" odxf="1" dxf="1">
    <nc r="B1099" t="inlineStr">
      <is>
        <t>Mac Arthur Leyte</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47" sId="4" odxf="1" dxf="1">
    <nc r="B1100" t="inlineStr">
      <is>
        <t>Motiong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fmt sheetId="4" sqref="B1093:B1100">
    <dxf>
      <fill>
        <patternFill patternType="none">
          <bgColor auto="1"/>
        </patternFill>
      </fill>
    </dxf>
  </rfmt>
  <rfmt sheetId="4" sqref="B1093:B1100" start="0" length="0">
    <dxf>
      <alignment horizontal="left" indent="1" relativeIndent="1" readingOrder="0"/>
    </dxf>
  </rfmt>
  <rfmt sheetId="4" sqref="B1093:B1100" start="0" length="0">
    <dxf>
      <alignment indent="2" relativeIndent="1" readingOrder="0"/>
    </dxf>
  </rfmt>
  <rfmt sheetId="4" sqref="B1093:B1100" start="0" length="0">
    <dxf>
      <alignment indent="3" relativeIndent="1" readingOrder="0"/>
    </dxf>
  </rfmt>
  <rfmt sheetId="4" sqref="B1093:B1100" start="0" length="0">
    <dxf>
      <alignment indent="4" relativeIndent="1" readingOrder="0"/>
    </dxf>
  </rfmt>
  <rfmt sheetId="4" sqref="B1093:B1100" start="0" length="0">
    <dxf>
      <alignment indent="5" relativeIndent="1" readingOrder="0"/>
    </dxf>
  </rfmt>
  <rcc rId="348" sId="4" odxf="1" dxf="1">
    <nc r="T1093" t="inlineStr">
      <is>
        <t>All medicine procured</t>
      </is>
    </nc>
    <odxf>
      <font>
        <b/>
        <color auto="1"/>
      </font>
      <alignment horizontal="left" readingOrder="0"/>
    </odxf>
    <ndxf>
      <font>
        <b val="0"/>
        <sz val="8"/>
        <color auto="1"/>
      </font>
      <alignment horizontal="general" readingOrder="0"/>
    </ndxf>
  </rcc>
  <rcc rId="349" sId="4" odxf="1" dxf="1">
    <nc r="T1094" t="inlineStr">
      <is>
        <t>Purchase of medicines and medical supplies</t>
      </is>
    </nc>
    <odxf>
      <font>
        <b/>
        <color auto="1"/>
      </font>
      <alignment horizontal="left" wrapText="1" readingOrder="0"/>
    </odxf>
    <ndxf>
      <font>
        <b val="0"/>
        <color auto="1"/>
      </font>
      <alignment horizontal="general" wrapText="0" readingOrder="0"/>
    </ndxf>
  </rcc>
  <rfmt sheetId="4" sqref="T1095" start="0" length="0">
    <dxf>
      <font>
        <b val="0"/>
        <color auto="1"/>
      </font>
      <fill>
        <patternFill patternType="solid">
          <bgColor rgb="FFFF0000"/>
        </patternFill>
      </fill>
      <alignment horizontal="general" wrapText="0" readingOrder="0"/>
    </dxf>
  </rfmt>
  <rfmt sheetId="4" sqref="T1096" start="0" length="0">
    <dxf>
      <font>
        <b val="0"/>
        <color auto="1"/>
      </font>
      <fill>
        <patternFill patternType="solid">
          <bgColor rgb="FFFF0000"/>
        </patternFill>
      </fill>
      <alignment horizontal="general" wrapText="0" readingOrder="0"/>
    </dxf>
  </rfmt>
  <rfmt sheetId="4" sqref="T1097" start="0" length="0">
    <dxf>
      <font>
        <b val="0"/>
        <color auto="1"/>
      </font>
      <fill>
        <patternFill patternType="solid">
          <bgColor rgb="FFFF0000"/>
        </patternFill>
      </fill>
      <alignment horizontal="general" wrapText="0" readingOrder="0"/>
    </dxf>
  </rfmt>
  <rcc rId="350" sId="4" odxf="1" dxf="1">
    <nc r="T1098" t="inlineStr">
      <is>
        <t>15,500 assistance for medical missions</t>
      </is>
    </nc>
    <odxf>
      <font>
        <b/>
        <color auto="1"/>
      </font>
      <alignment horizontal="left" wrapText="1" readingOrder="0"/>
    </odxf>
    <ndxf>
      <font>
        <b val="0"/>
        <color auto="1"/>
      </font>
      <alignment horizontal="general" wrapText="0" readingOrder="0"/>
    </ndxf>
  </rcc>
  <rfmt sheetId="4" sqref="T1099" start="0" length="0">
    <dxf>
      <font>
        <b val="0"/>
        <color auto="1"/>
      </font>
      <fill>
        <patternFill patternType="solid">
          <bgColor rgb="FFFF0000"/>
        </patternFill>
      </fill>
      <alignment horizontal="general" wrapText="0" readingOrder="0"/>
    </dxf>
  </rfmt>
  <rfmt sheetId="4" sqref="T1093:T1099">
    <dxf>
      <fill>
        <patternFill patternType="none">
          <bgColor auto="1"/>
        </patternFill>
      </fill>
    </dxf>
  </rfmt>
  <rcc rId="351" sId="4" odxf="1" dxf="1">
    <nc r="T1204" t="inlineStr">
      <is>
        <t>Granted cash advance to purchase medicine. Lab test, diagnostix and therapeutic procedure for indigents seeking medical assistance</t>
      </is>
    </nc>
    <odxf>
      <font>
        <b/>
        <sz val="11"/>
        <name val="Calibri"/>
        <scheme val="none"/>
      </font>
      <alignment horizontal="left" readingOrder="0"/>
    </odxf>
    <ndxf>
      <font>
        <b val="0"/>
        <sz val="8"/>
        <name val="Calibri"/>
        <scheme val="none"/>
      </font>
      <alignment horizontal="center" readingOrder="0"/>
    </ndxf>
  </rcc>
  <rcc rId="352" sId="4" odxf="1" dxf="1">
    <nc r="T1205" t="inlineStr">
      <is>
        <t>Aid to 177 indigents</t>
      </is>
    </nc>
    <odxf>
      <font>
        <b/>
        <sz val="11"/>
        <name val="Calibri"/>
        <scheme val="none"/>
      </font>
      <alignment horizontal="left" wrapText="1" readingOrder="0"/>
    </odxf>
    <ndxf>
      <font>
        <b val="0"/>
        <sz val="11"/>
        <name val="Calibri"/>
        <scheme val="none"/>
      </font>
      <alignment horizontal="general" wrapText="0" readingOrder="0"/>
    </ndxf>
  </rcc>
  <rrc rId="353" sId="4" ref="A1255:XFD1260"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354" sId="4" odxf="1" s="1" dxf="1">
    <nc r="B1255" t="inlineStr">
      <is>
        <t xml:space="preserve">       Province of Biliran</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0000"/>
        </patternFill>
      </fill>
      <alignment vertical="bottom" wrapText="0" indent="0" relativeIndent="0" readingOrder="0"/>
    </ndxf>
  </rcc>
  <rcc rId="355" sId="4" odxf="1" s="1" dxf="1">
    <nc r="B1256" t="inlineStr">
      <is>
        <t xml:space="preserve">       Hinundayan, So. Leyte</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FF00"/>
        </patternFill>
      </fill>
      <alignment vertical="bottom" wrapText="0" indent="0" relativeIndent="0" readingOrder="0"/>
    </ndxf>
  </rcc>
  <rcc rId="356" sId="4" odxf="1" s="1" dxf="1">
    <nc r="B1257" t="inlineStr">
      <is>
        <t xml:space="preserve">       Silago, So. Leyte</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0000"/>
        </patternFill>
      </fill>
      <alignment vertical="bottom" wrapText="0" indent="0" relativeIndent="0" readingOrder="0"/>
    </ndxf>
  </rcc>
  <rcc rId="357" sId="4" odxf="1" s="1" dxf="1">
    <nc r="B1258" t="inlineStr">
      <is>
        <t xml:space="preserve">       Catbalogan City*</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0000"/>
        </patternFill>
      </fill>
      <alignment vertical="bottom" wrapText="0" indent="0" relativeIndent="0" readingOrder="0"/>
    </ndxf>
  </rcc>
  <rfmt sheetId="4" sqref="B1255:B1258">
    <dxf>
      <fill>
        <patternFill patternType="none">
          <bgColor auto="1"/>
        </patternFill>
      </fill>
    </dxf>
  </rfmt>
  <rfmt sheetId="4" sqref="B1255:B1258" start="0" length="0">
    <dxf>
      <alignment indent="1" relativeIndent="1" readingOrder="0"/>
    </dxf>
  </rfmt>
  <rfmt sheetId="4" sqref="B1255:B1258" start="0" length="0">
    <dxf>
      <alignment indent="2" relativeIndent="1" readingOrder="0"/>
    </dxf>
  </rfmt>
  <rfmt sheetId="4" sqref="B1255:B1258" start="0" length="0">
    <dxf>
      <alignment indent="3" relativeIndent="1" readingOrder="0"/>
    </dxf>
  </rfmt>
  <rrc rId="358" sId="4" ref="A1259:XFD1259" action="delete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fmt sheetId="4" xfDxf="1" sqref="A1259:XFD1259" start="0" length="0"/>
    <rfmt sheetId="4" s="1" sqref="B1259" start="0" length="0">
      <dxf>
        <font>
          <sz val="11"/>
          <color auto="1"/>
          <name val="Calibri"/>
          <scheme val="none"/>
        </font>
        <alignment horizontal="left" vertical="top" wrapText="1" indent="3" relativeIndent="0" readingOrder="0"/>
      </dxf>
    </rfmt>
    <rfmt sheetId="4" s="1" sqref="C1259" start="0" length="0">
      <dxf>
        <font>
          <sz val="11"/>
          <color auto="1"/>
          <name val="Calibri"/>
          <scheme val="none"/>
        </font>
        <alignment horizontal="left" vertical="top" wrapText="1" indent="3" relativeIndent="0" readingOrder="0"/>
      </dxf>
    </rfmt>
    <rfmt sheetId="4" s="1" sqref="D1259" start="0" length="0">
      <dxf>
        <font>
          <sz val="11"/>
          <color auto="1"/>
          <name val="Calibri"/>
          <scheme val="none"/>
        </font>
        <alignment horizontal="center" vertical="top" readingOrder="0"/>
      </dxf>
    </rfmt>
    <rfmt sheetId="4" s="1" sqref="E1259" start="0" length="0">
      <dxf>
        <font>
          <sz val="11"/>
          <color auto="1"/>
          <name val="Calibri"/>
          <scheme val="none"/>
        </font>
        <numFmt numFmtId="165" formatCode="[$-3409]dd\-mmm\-yy;@"/>
        <alignment horizontal="center" vertical="top" readingOrder="0"/>
      </dxf>
    </rfmt>
    <rfmt sheetId="4" s="1" sqref="F1259" start="0" length="0">
      <dxf>
        <font>
          <sz val="11"/>
          <color auto="1"/>
          <name val="Calibri"/>
          <scheme val="none"/>
        </font>
        <numFmt numFmtId="165" formatCode="[$-3409]dd\-mmm\-yy;@"/>
        <alignment horizontal="center" vertical="top" readingOrder="0"/>
      </dxf>
    </rfmt>
    <rfmt sheetId="4" s="1" sqref="G1259" start="0" length="0">
      <dxf>
        <font>
          <sz val="11"/>
          <color auto="1"/>
          <name val="Calibri"/>
          <scheme val="none"/>
        </font>
        <alignment vertical="top" readingOrder="0"/>
      </dxf>
    </rfmt>
    <rfmt sheetId="4" s="1" sqref="H1259" start="0" length="0">
      <dxf>
        <font>
          <sz val="11"/>
          <color auto="1"/>
          <name val="Calibri"/>
          <scheme val="none"/>
        </font>
        <alignment vertical="top" readingOrder="0"/>
      </dxf>
    </rfmt>
    <rfmt sheetId="4" sqref="I1259" start="0" length="0">
      <dxf>
        <alignment vertical="top" readingOrder="0"/>
      </dxf>
    </rfmt>
    <rfmt sheetId="4" sqref="J1259" start="0" length="0">
      <dxf>
        <numFmt numFmtId="33" formatCode="_(* #,##0_);_(* \(#,##0\);_(* &quot;-&quot;_);_(@_)"/>
        <alignment vertical="top" readingOrder="0"/>
      </dxf>
    </rfmt>
    <rfmt sheetId="4" sqref="K1259" start="0" length="0">
      <dxf>
        <alignment vertical="top" readingOrder="0"/>
      </dxf>
    </rfmt>
    <rfmt sheetId="4" s="1" sqref="L1259" start="0" length="0">
      <dxf>
        <font>
          <sz val="11"/>
          <color auto="1"/>
          <name val="Calibri"/>
          <scheme val="none"/>
        </font>
        <numFmt numFmtId="164" formatCode="_(* #,##0_);_(* \(#,##0\);_(* &quot;-&quot;??_);_(@_)"/>
        <alignment vertical="top" readingOrder="0"/>
      </dxf>
    </rfmt>
    <rfmt sheetId="4" s="1" sqref="M1259" start="0" length="0">
      <dxf>
        <font>
          <sz val="11"/>
          <color auto="1"/>
          <name val="Calibri"/>
          <scheme val="none"/>
        </font>
        <numFmt numFmtId="164" formatCode="_(* #,##0_);_(* \(#,##0\);_(* &quot;-&quot;??_);_(@_)"/>
        <alignment vertical="top" readingOrder="0"/>
      </dxf>
    </rfmt>
    <rfmt sheetId="4" s="1" sqref="N1259" start="0" length="0">
      <dxf>
        <font>
          <sz val="11"/>
          <color auto="1"/>
          <name val="Calibri"/>
          <scheme val="none"/>
        </font>
        <numFmt numFmtId="164" formatCode="_(* #,##0_);_(* \(#,##0\);_(* &quot;-&quot;??_);_(@_)"/>
        <alignment vertical="top" readingOrder="0"/>
      </dxf>
    </rfmt>
    <rfmt sheetId="4" s="1" sqref="O1259" start="0" length="0">
      <dxf>
        <font>
          <sz val="11"/>
          <color auto="1"/>
          <name val="Calibri"/>
          <scheme val="none"/>
        </font>
        <numFmt numFmtId="164" formatCode="_(* #,##0_);_(* \(#,##0\);_(* &quot;-&quot;??_);_(@_)"/>
      </dxf>
    </rfmt>
    <rfmt sheetId="4" sqref="P1259" start="0" length="0">
      <dxf>
        <font>
          <sz val="11"/>
          <color indexed="8"/>
          <name val="Calibri"/>
          <scheme val="none"/>
        </font>
        <alignment horizontal="center" vertical="top" wrapText="1" readingOrder="0"/>
      </dxf>
    </rfmt>
    <rfmt sheetId="4" s="1" sqref="Q1259" start="0" length="0">
      <dxf>
        <font>
          <sz val="11"/>
          <color auto="1"/>
          <name val="Calibri"/>
          <scheme val="none"/>
        </font>
        <numFmt numFmtId="164" formatCode="_(* #,##0_);_(* \(#,##0\);_(* &quot;-&quot;??_);_(@_)"/>
        <alignment horizontal="center" vertical="top" readingOrder="0"/>
      </dxf>
    </rfmt>
    <rfmt sheetId="4" s="1" sqref="R1259" start="0" length="0">
      <dxf>
        <font>
          <b/>
          <sz val="11"/>
          <color auto="1"/>
          <name val="Calibri"/>
          <scheme val="minor"/>
        </font>
        <numFmt numFmtId="164" formatCode="_(* #,##0_);_(* \(#,##0\);_(* &quot;-&quot;??_);_(@_)"/>
        <alignment vertical="top" readingOrder="0"/>
      </dxf>
    </rfmt>
    <rfmt sheetId="4" s="1" sqref="S1259" start="0" length="0">
      <dxf>
        <font>
          <b/>
          <sz val="11"/>
          <color auto="1"/>
          <name val="Calibri"/>
          <scheme val="minor"/>
        </font>
        <numFmt numFmtId="164" formatCode="_(* #,##0_);_(* \(#,##0\);_(* &quot;-&quot;??_);_(@_)"/>
        <alignment vertical="top" readingOrder="0"/>
      </dxf>
    </rfmt>
    <rfmt sheetId="4" sqref="T1259" start="0" length="0">
      <dxf>
        <font>
          <b/>
          <sz val="11"/>
          <color auto="1"/>
          <name val="Calibri"/>
          <scheme val="none"/>
        </font>
        <alignment horizontal="left" vertical="top" wrapText="1" readingOrder="0"/>
      </dxf>
    </rfmt>
    <rfmt sheetId="4" s="1" sqref="U1259" start="0" length="0">
      <dxf>
        <font>
          <sz val="11"/>
          <color auto="1"/>
          <name val="Calibri"/>
          <scheme val="none"/>
        </font>
        <alignment vertical="top" readingOrder="0"/>
      </dxf>
    </rfmt>
    <rfmt sheetId="4" sqref="V1259" start="0" length="0">
      <dxf>
        <font>
          <sz val="10"/>
          <color auto="1"/>
          <name val="Calibri"/>
          <scheme val="none"/>
        </font>
        <alignment vertical="top" readingOrder="0"/>
      </dxf>
    </rfmt>
  </rrc>
  <rcc rId="359" sId="4" odxf="1" s="1" dxf="1">
    <nc r="T1274" t="inlineStr">
      <is>
        <t>Medical Asst for Indigent, CIDDS Program, Scholarship Program</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9"/>
        <color auto="1"/>
        <name val="Calibri"/>
        <scheme val="none"/>
      </font>
      <alignment horizontal="general" readingOrder="0"/>
    </ndxf>
  </rcc>
  <rcc rId="360" sId="4" odxf="1" s="1" dxf="1">
    <nc r="T1459" t="inlineStr">
      <is>
        <t>Aid to 1934 indigents</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alignment horizontal="general" wrapText="0" readingOrder="0"/>
    </ndxf>
  </rcc>
  <rrc rId="361" sId="4" ref="A1472:XFD1475"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362" sId="4" odxf="1" dxf="1">
    <nc r="B1472" t="inlineStr">
      <is>
        <t>Sulat E. Samar</t>
      </is>
    </nc>
    <odxf>
      <alignment horizontal="left" wrapText="1" indent="3" relativeIndent="0" readingOrder="0"/>
    </odxf>
    <ndxf>
      <alignment horizontal="general" wrapText="0" indent="0" relativeIndent="0" readingOrder="0"/>
    </ndxf>
  </rcc>
  <rcc rId="363" sId="4" odxf="1" dxf="1">
    <nc r="B1473" t="inlineStr">
      <is>
        <t>Arteche E. Samar</t>
      </is>
    </nc>
    <odxf>
      <alignment horizontal="left" wrapText="1" indent="3" relativeIndent="0" readingOrder="0"/>
    </odxf>
    <ndxf>
      <alignment horizontal="general" wrapText="0" indent="0" relativeIndent="0" readingOrder="0"/>
    </ndxf>
  </rcc>
  <rcc rId="364" sId="4" odxf="1" dxf="1">
    <nc r="B1474" t="inlineStr">
      <is>
        <t>Lawaan E.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fmt sheetId="4" sqref="B1472:B1474" start="0" length="2147483647">
    <dxf>
      <font>
        <color rgb="FFFF0000"/>
      </font>
    </dxf>
  </rfmt>
  <rfmt sheetId="4" sqref="B1472:B1474" start="0" length="0">
    <dxf>
      <alignment horizontal="left" indent="1" relativeIndent="1" readingOrder="0"/>
    </dxf>
  </rfmt>
  <rfmt sheetId="4" sqref="B1472:B1474" start="0" length="0">
    <dxf>
      <alignment indent="2" relativeIndent="1" readingOrder="0"/>
    </dxf>
  </rfmt>
  <rfmt sheetId="4" sqref="B1472:B1474" start="0" length="2147483647">
    <dxf>
      <font/>
    </dxf>
  </rfmt>
  <rfmt sheetId="4" sqref="B1472:B1474">
    <dxf>
      <fill>
        <patternFill patternType="none">
          <bgColor auto="1"/>
        </patternFill>
      </fill>
    </dxf>
  </rfmt>
  <rfmt sheetId="4" sqref="B1472:B1474" start="0" length="2147483647">
    <dxf>
      <font>
        <color auto="1"/>
      </font>
    </dxf>
  </rfmt>
  <rcc rId="365" sId="4" odxf="1" s="1" dxf="1">
    <nc r="T1472" t="inlineStr">
      <is>
        <t>Farm to Market Road</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alignment horizontal="general" wrapText="0" readingOrder="0"/>
    </ndxf>
  </rcc>
  <rcc rId="366" sId="4" odxf="1" s="1" dxf="1">
    <nc r="T1473" t="inlineStr">
      <is>
        <t>Upgrading of catumsan-aguinaldo FMR</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alignment horizontal="general" wrapText="0" readingOrder="0"/>
    </ndxf>
  </rcc>
  <rrc rId="367" sId="4" ref="A1487:XFD1496"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368" sId="4" odxf="1" dxf="1">
    <nc r="B1487" t="inlineStr">
      <is>
        <t>Motiong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69" sId="4" odxf="1" dxf="1">
    <nc r="B1488" t="inlineStr">
      <is>
        <t>Sta. Rita Samar</t>
      </is>
    </nc>
    <odxf>
      <alignment horizontal="left" wrapText="1" indent="3" relativeIndent="0" readingOrder="0"/>
    </odxf>
    <ndxf>
      <alignment horizontal="general" wrapText="0" indent="0" relativeIndent="0" readingOrder="0"/>
    </ndxf>
  </rcc>
  <rcc rId="370" sId="4" odxf="1" dxf="1">
    <nc r="B1489" t="inlineStr">
      <is>
        <t>San Jose de Buan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71" sId="4" odxf="1" dxf="1">
    <nc r="B1490" t="inlineStr">
      <is>
        <t>Basey Samar</t>
      </is>
    </nc>
    <odxf>
      <alignment horizontal="left" wrapText="1" indent="3" relativeIndent="0" readingOrder="0"/>
    </odxf>
    <ndxf>
      <alignment horizontal="general" wrapText="0" indent="0" relativeIndent="0" readingOrder="0"/>
    </ndxf>
  </rcc>
  <rcc rId="372" sId="4" odxf="1" dxf="1">
    <nc r="B1491" t="inlineStr">
      <is>
        <t>Paranas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73" sId="4" odxf="1" dxf="1">
    <nc r="B1492" t="inlineStr">
      <is>
        <t>Hinabangan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374" sId="4" odxf="1" dxf="1">
    <nc r="B1493" t="inlineStr">
      <is>
        <t>Marabut Samar</t>
      </is>
    </nc>
    <odxf>
      <alignment horizontal="left" wrapText="1" indent="3" relativeIndent="0" readingOrder="0"/>
    </odxf>
    <ndxf>
      <alignment horizontal="general" wrapText="0" indent="0" relativeIndent="0" readingOrder="0"/>
    </ndxf>
  </rcc>
  <rcc rId="375" sId="4" odxf="1" dxf="1">
    <nc r="B1494" t="inlineStr">
      <is>
        <t>Daram Samar</t>
      </is>
    </nc>
    <odxf>
      <alignment horizontal="left" wrapText="1" indent="3" relativeIndent="0" readingOrder="0"/>
    </odxf>
    <ndxf>
      <alignment horizontal="general" wrapText="0" indent="0" relativeIndent="0" readingOrder="0"/>
    </ndxf>
  </rcc>
  <rcc rId="376" sId="4" odxf="1" dxf="1">
    <nc r="B1495" t="inlineStr">
      <is>
        <t>Catbalogan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fmt sheetId="4" sqref="B1487:B1495">
    <dxf>
      <fill>
        <patternFill patternType="none">
          <bgColor auto="1"/>
        </patternFill>
      </fill>
    </dxf>
  </rfmt>
  <rfmt sheetId="4" sqref="B1487:B1495" start="0" length="0">
    <dxf>
      <alignment horizontal="left" indent="1" relativeIndent="1" readingOrder="0"/>
    </dxf>
  </rfmt>
  <rfmt sheetId="4" sqref="B1487:B1495" start="0" length="0">
    <dxf>
      <alignment indent="2" relativeIndent="1" readingOrder="0"/>
    </dxf>
  </rfmt>
  <rfmt sheetId="4" sqref="B1487:B1495" start="0" length="0">
    <dxf>
      <alignment indent="3" relativeIndent="1" readingOrder="0"/>
    </dxf>
  </rfmt>
  <rfmt sheetId="4" sqref="B1487:B1495" start="0" length="0">
    <dxf>
      <alignment indent="4" relativeIndent="1" readingOrder="0"/>
    </dxf>
  </rfmt>
  <rfmt sheetId="4" sqref="B1487:B1495" start="0" length="0">
    <dxf>
      <alignment indent="5" relativeIndent="1" readingOrder="0"/>
    </dxf>
  </rfmt>
  <rfmt sheetId="4" s="1" sqref="T1487" start="0" length="0">
    <dxf>
      <font>
        <b val="0"/>
        <sz val="11"/>
        <color auto="1"/>
        <name val="Calibri"/>
        <scheme val="none"/>
      </font>
      <fill>
        <patternFill patternType="solid">
          <bgColor rgb="FFFF0000"/>
        </patternFill>
      </fill>
      <alignment horizontal="general" wrapText="0" readingOrder="0"/>
    </dxf>
  </rfmt>
  <rcc rId="377" sId="4" odxf="1" s="1" dxf="1">
    <nc r="T1488" t="inlineStr">
      <is>
        <t>Medicines and medical services</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alignment horizontal="general" wrapText="0" readingOrder="0"/>
    </ndxf>
  </rcc>
  <rfmt sheetId="4" s="1" sqref="T1489" start="0" length="0">
    <dxf>
      <font>
        <b val="0"/>
        <sz val="11"/>
        <color auto="1"/>
        <name val="Calibri"/>
        <scheme val="none"/>
      </font>
      <fill>
        <patternFill patternType="solid">
          <bgColor rgb="FFFF0000"/>
        </patternFill>
      </fill>
      <alignment horizontal="general" wrapText="0" readingOrder="0"/>
    </dxf>
  </rfmt>
  <rcc rId="378" sId="4" odxf="1" s="1" dxf="1">
    <nc r="T1490" t="inlineStr">
      <is>
        <t>Purchase of medicines</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alignment horizontal="general" wrapText="0" readingOrder="0"/>
    </ndxf>
  </rcc>
  <rfmt sheetId="4" s="1" sqref="T1491" start="0" length="0">
    <dxf>
      <font>
        <b val="0"/>
        <sz val="11"/>
        <color auto="1"/>
        <name val="Calibri"/>
        <scheme val="none"/>
      </font>
      <fill>
        <patternFill patternType="solid">
          <bgColor rgb="FFFF0000"/>
        </patternFill>
      </fill>
      <alignment horizontal="general" wrapText="0" readingOrder="0"/>
    </dxf>
  </rfmt>
  <rfmt sheetId="4" s="1" sqref="T1492" start="0" length="0">
    <dxf>
      <font>
        <b val="0"/>
        <sz val="11"/>
        <color auto="1"/>
        <name val="Calibri"/>
        <scheme val="none"/>
      </font>
      <fill>
        <patternFill patternType="solid">
          <bgColor rgb="FFFF0000"/>
        </patternFill>
      </fill>
      <alignment horizontal="general" wrapText="0" readingOrder="0"/>
    </dxf>
  </rfmt>
  <rcc rId="379" sId="4" odxf="1" s="1" dxf="1">
    <nc r="T1493" t="inlineStr">
      <is>
        <t>Procurement of medicines and medical services for 24 barangays</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8"/>
        <color auto="1"/>
        <name val="Calibri"/>
        <scheme val="none"/>
      </font>
      <alignment horizontal="general" readingOrder="0"/>
    </ndxf>
  </rcc>
  <rcc rId="380" sId="4" odxf="1" s="1" dxf="1">
    <nc r="T1494" t="inlineStr">
      <is>
        <t>Purchase of medicines</t>
      </is>
    </nc>
    <odxf>
      <font>
        <b/>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alignment horizontal="general" wrapText="0" readingOrder="0"/>
    </ndxf>
  </rcc>
  <rfmt sheetId="4" sqref="T1495" start="0" length="0">
    <dxf>
      <font>
        <b val="0"/>
        <sz val="11"/>
        <color theme="1"/>
        <name val="Calibri"/>
        <scheme val="minor"/>
      </font>
      <fill>
        <patternFill patternType="solid">
          <bgColor rgb="FFFF0000"/>
        </patternFill>
      </fill>
      <alignment horizontal="general" vertical="bottom" wrapText="0" readingOrder="0"/>
    </dxf>
  </rfmt>
  <rfmt sheetId="4" sqref="T1487:T1495">
    <dxf>
      <fill>
        <patternFill patternType="none">
          <bgColor auto="1"/>
        </patternFill>
      </fill>
    </dxf>
  </rfmt>
  <rrc rId="381" sId="4" ref="A1504:XFD1553"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382" sId="4" odxf="1" s="1" dxf="1">
    <nc r="B1504" t="inlineStr">
      <is>
        <t>A.     Anonang Burauen</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border outline="0">
        <left style="thin">
          <color indexed="64"/>
        </left>
        <right style="thin">
          <color indexed="64"/>
        </right>
        <top style="thin">
          <color indexed="64"/>
        </top>
      </border>
    </ndxf>
  </rcc>
  <rcc rId="383" sId="4" odxf="1" s="1" dxf="1">
    <nc r="B1505" t="inlineStr">
      <is>
        <t xml:space="preserve">    Cadahunan Burauen</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84" sId="4" odxf="1" s="1" dxf="1">
    <nc r="B1506" t="inlineStr">
      <is>
        <t xml:space="preserve">     Bagong Lipinan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85" sId="4" odxf="1" s="1" dxf="1">
    <nc r="B1507" t="inlineStr">
      <is>
        <t xml:space="preserve">     Balilit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86" sId="4" odxf="1" s="1" dxf="1">
    <nc r="B1508" t="inlineStr">
      <is>
        <t xml:space="preserve">     Barayong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87" sId="4" odxf="1" s="1" dxf="1">
    <nc r="B1509" t="inlineStr">
      <is>
        <t xml:space="preserve">     Barugohay Central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88" sId="4" odxf="1" s="1" dxf="1">
    <nc r="B1510" t="inlineStr">
      <is>
        <t xml:space="preserve">     Barugohay Norte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89" sId="4" odxf="1" s="1" dxf="1">
    <nc r="B1511" t="inlineStr">
      <is>
        <t xml:space="preserve">     Barugohay SUr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0" sId="4" odxf="1" s="1" dxf="1">
    <nc r="B1512" t="inlineStr">
      <is>
        <t xml:space="preserve">     Carigara Leyte</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1" sId="4" odxf="1" s="1" dxf="1">
    <nc r="B1513" t="inlineStr">
      <is>
        <t xml:space="preserve">      Bislig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2" sId="4" odxf="1" s="1" dxf="1">
    <nc r="B1514" t="inlineStr">
      <is>
        <t xml:space="preserve">      Caghalo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3" sId="4" odxf="1" s="1" dxf="1">
    <nc r="B1515" t="inlineStr">
      <is>
        <t xml:space="preserve">      Camansi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4" sId="4" odxf="1" s="1" dxf="1">
    <nc r="B1516" t="inlineStr">
      <is>
        <t xml:space="preserve">      Canal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5" sId="4" odxf="1" s="1" dxf="1">
    <nc r="B1517" t="inlineStr">
      <is>
        <t xml:space="preserve">      Cogon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6" sId="4" odxf="1" s="1" dxf="1">
    <nc r="B1518" t="inlineStr">
      <is>
        <t xml:space="preserve">      Cutay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7" sId="4" odxf="1" s="1" dxf="1">
    <nc r="B1519" t="inlineStr">
      <is>
        <t xml:space="preserve">      Hiluctogan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8" sId="4" odxf="1" s="1" dxf="1">
    <nc r="B1520" t="inlineStr">
      <is>
        <t xml:space="preserve">       Macalpi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399" sId="4" odxf="1" s="1" dxf="1">
    <nc r="B1521" t="inlineStr">
      <is>
        <t xml:space="preserve">       Manloy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0" sId="4" odxf="1" s="1" dxf="1">
    <nc r="B1522" t="inlineStr">
      <is>
        <t xml:space="preserve">       Pangna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1" sId="4" odxf="1" s="1" dxf="1">
    <nc r="B1523" t="inlineStr">
      <is>
        <t xml:space="preserve">       Parag-um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2" sId="4" odxf="1" s="1" dxf="1">
    <nc r="B1524" t="inlineStr">
      <is>
        <t xml:space="preserve">       Parena (Pob)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3" sId="4" odxf="1" s="1" dxf="1">
    <nc r="B1525" t="inlineStr">
      <is>
        <t xml:space="preserve">        Piloro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4" sId="4" odxf="1" s="1" dxf="1">
    <nc r="B1526" t="inlineStr">
      <is>
        <t xml:space="preserve">        Rizal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5" sId="4" odxf="1" s="1" dxf="1">
    <nc r="B1527" t="inlineStr">
      <is>
        <t xml:space="preserve">        Sagkahan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6" sId="4" odxf="1" s="1" dxf="1">
    <nc r="B1528" t="inlineStr">
      <is>
        <t xml:space="preserve">        San Isidro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7" sId="4" odxf="1" s="1" dxf="1">
    <nc r="B1529" t="inlineStr">
      <is>
        <t xml:space="preserve">        San Juan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8" sId="4" odxf="1" s="1" dxf="1">
    <nc r="B1530" t="inlineStr">
      <is>
        <t xml:space="preserve">       Tagak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09" sId="4" odxf="1" s="1" dxf="1">
    <nc r="B1531" t="inlineStr">
      <is>
        <t xml:space="preserve">       Carigara Leyte</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0" sId="4" odxf="1" s="1" dxf="1">
    <nc r="B1532" t="inlineStr">
      <is>
        <t xml:space="preserve">        Tigbao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1" sId="4" odxf="1" s="1" dxf="1">
    <nc r="B1533" t="inlineStr">
      <is>
        <t xml:space="preserve">       West Visoria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2" sId="4" odxf="1" s="1" dxf="1">
    <nc r="B1534" t="inlineStr">
      <is>
        <t xml:space="preserve">       Carigara Leyte</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3" sId="4" odxf="1" s="1" dxf="1">
    <nc r="B1535" t="inlineStr">
      <is>
        <t xml:space="preserve">       Buenavista Dagami</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4" sId="4" odxf="1" s="1" dxf="1">
    <nc r="B1536" t="inlineStr">
      <is>
        <t>B.    Cantabi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5" sId="4" odxf="1" s="1" dxf="1">
    <nc r="B1537" t="inlineStr">
      <is>
        <t xml:space="preserve">       East Visoria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6" sId="4" odxf="1" s="1" dxf="1">
    <nc r="B1538" t="inlineStr">
      <is>
        <t xml:space="preserve">       Guindapunan West,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7" sId="4" odxf="1" s="1" dxf="1">
    <nc r="B1539" t="inlineStr">
      <is>
        <t xml:space="preserve">       Lower Hiraan,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8" sId="4" odxf="1" s="1" dxf="1">
    <nc r="B1540" t="inlineStr">
      <is>
        <t xml:space="preserve">       Lower Sugod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19" sId="4" odxf="1" s="1" dxf="1">
    <nc r="B1541" t="inlineStr">
      <is>
        <t xml:space="preserve">        Nauguisan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0" sId="4" odxf="1" s="1" dxf="1">
    <nc r="B1542" t="inlineStr">
      <is>
        <t xml:space="preserve">        Pagla-um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1" sId="4" odxf="1" s="1" dxf="1">
    <nc r="B1543" t="inlineStr">
      <is>
        <t xml:space="preserve">        Upper Hiraaan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2" sId="4" odxf="1" s="1" dxf="1">
    <nc r="B1544" t="inlineStr">
      <is>
        <t xml:space="preserve">         Upper Sogod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3" sId="4" odxf="1" s="1" dxf="1">
    <nc r="B1545" t="inlineStr">
      <is>
        <t xml:space="preserve">         Uwayan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4" sId="4" odxf="1" s="1" dxf="1">
    <nc r="B1546" t="inlineStr">
      <is>
        <t>C.   Brgy Guindapunan East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5" sId="4" odxf="1" s="1" dxf="1">
    <nc r="B1547" t="inlineStr">
      <is>
        <t>D.  Brgy Libo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6" sId="4" odxf="1" s="1" dxf="1">
    <nc r="B1548" t="inlineStr">
      <is>
        <t>E.   Brgy Jugaban PoB</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7" sId="4" odxf="1" s="1" dxf="1">
    <nc r="B1549" t="inlineStr">
      <is>
        <t>F.   Brgy Santa Fe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8" sId="4" odxf="1" s="1" dxf="1">
    <nc r="B1550" t="inlineStr">
      <is>
        <t>G.  Brgy Dinaayan Burauen</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29" sId="4" odxf="1" s="1" dxf="1">
    <nc r="B1551" t="inlineStr">
      <is>
        <t>H.  Brgy Ponong Pob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cc rId="430" sId="4" odxf="1" s="1" dxf="1">
    <nc r="B1552" t="inlineStr">
      <is>
        <t>I.  Brgy Kalaw, San Mateo Carigara</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fmt sheetId="4" sqref="B1504:B1552" start="0" length="0">
    <dxf>
      <alignment horizontal="left" indent="1" relativeIndent="1" readingOrder="0"/>
    </dxf>
  </rfmt>
  <rfmt sheetId="4" sqref="B1504:B1552" start="0" length="0">
    <dxf>
      <alignment indent="2" relativeIndent="1" readingOrder="0"/>
    </dxf>
  </rfmt>
  <rfmt sheetId="4" sqref="B1504:B1552" start="0" length="0">
    <dxf>
      <alignment indent="3" relativeIndent="1" readingOrder="0"/>
    </dxf>
  </rfmt>
  <rfmt sheetId="4" sqref="B1504" start="0" length="0">
    <dxf>
      <border>
        <left style="thin">
          <color indexed="64"/>
        </left>
        <right style="thin">
          <color indexed="64"/>
        </right>
        <top style="thin">
          <color indexed="64"/>
        </top>
        <bottom style="thin">
          <color indexed="64"/>
        </bottom>
      </border>
    </dxf>
  </rfmt>
  <rfmt sheetId="4" sqref="B1504" start="0" length="0">
    <dxf>
      <border>
        <left/>
        <right/>
        <top/>
        <bottom/>
      </border>
    </dxf>
  </rfmt>
  <rrc rId="431" sId="4" ref="A1570:XFD1575"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432" sId="4" odxf="1" dxf="1">
    <nc r="B1570" t="inlineStr">
      <is>
        <t>Allen No.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433" sId="4" odxf="1" dxf="1">
    <nc r="B1571" t="inlineStr">
      <is>
        <t>Capul No.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434" sId="4" odxf="1" dxf="1">
    <nc r="B1572" t="inlineStr">
      <is>
        <t>Brgy DONA Lucia Mondragon</t>
      </is>
    </nc>
    <odxf>
      <alignment horizontal="left" wrapText="1" indent="3" relativeIndent="0" readingOrder="0"/>
    </odxf>
    <ndxf>
      <alignment horizontal="general" wrapText="0" indent="0" relativeIndent="0" readingOrder="0"/>
    </ndxf>
  </rcc>
  <rcc rId="435" sId="4" odxf="1" dxf="1">
    <nc r="B1573" t="inlineStr">
      <is>
        <t>Mapanas, No. Samar</t>
      </is>
    </nc>
    <odxf>
      <fill>
        <patternFill patternType="none">
          <bgColor indexed="65"/>
        </patternFill>
      </fill>
      <alignment horizontal="left" wrapText="1" indent="3" relativeIndent="0" readingOrder="0"/>
    </odxf>
    <ndxf>
      <fill>
        <patternFill patternType="solid">
          <bgColor rgb="FFFF0000"/>
        </patternFill>
      </fill>
      <alignment horizontal="general" wrapText="0" indent="0" relativeIndent="0" readingOrder="0"/>
    </ndxf>
  </rcc>
  <rcc rId="436" sId="4" odxf="1" dxf="1">
    <nc r="B1574" t="inlineStr">
      <is>
        <t>Bobon No. Samar</t>
      </is>
    </nc>
    <odxf>
      <alignment horizontal="left" wrapText="1" indent="3" relativeIndent="0" readingOrder="0"/>
    </odxf>
    <ndxf>
      <alignment horizontal="general" wrapText="0" indent="0" relativeIndent="0" readingOrder="0"/>
    </ndxf>
  </rcc>
  <rfmt sheetId="4" sqref="B1570:B1574">
    <dxf>
      <fill>
        <patternFill patternType="none">
          <bgColor auto="1"/>
        </patternFill>
      </fill>
    </dxf>
  </rfmt>
  <rfmt sheetId="4" sqref="B1570:B1574" start="0" length="0">
    <dxf>
      <alignment horizontal="left" indent="1" relativeIndent="1" readingOrder="0"/>
    </dxf>
  </rfmt>
  <rfmt sheetId="4" sqref="B1570:B1574" start="0" length="0">
    <dxf>
      <alignment indent="2" relativeIndent="1" readingOrder="0"/>
    </dxf>
  </rfmt>
  <rfmt sheetId="4" sqref="B1570:B1574" start="0" length="0">
    <dxf>
      <alignment indent="3" relativeIndent="1" readingOrder="0"/>
    </dxf>
  </rfmt>
  <rrc rId="437" sId="4" ref="A1584:XFD1588"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438" sId="4" odxf="1" s="1" dxf="1">
    <nc r="B1584" t="inlineStr">
      <is>
        <t xml:space="preserve">     From Tabango to Sta. Margarita, Samar </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0000"/>
        </patternFill>
      </fill>
      <alignment vertical="bottom" indent="0" relativeIndent="0" readingOrder="0"/>
    </ndxf>
  </rcc>
  <rcc rId="439" sId="4" odxf="1" s="1" dxf="1">
    <nc r="B1585" t="inlineStr">
      <is>
        <t xml:space="preserve">      Jiabong, Samar    </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0000"/>
        </patternFill>
      </fill>
      <alignment vertical="bottom" wrapText="0" indent="0" relativeIndent="0" readingOrder="0"/>
    </ndxf>
  </rcc>
  <rcc rId="440" sId="4" odxf="1" s="1" dxf="1">
    <nc r="B1586" t="inlineStr">
      <is>
        <t xml:space="preserve">      Calubian, Leyte     </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0000"/>
        </patternFill>
      </fill>
      <alignment vertical="bottom" wrapText="0" indent="0" relativeIndent="0" readingOrder="0"/>
    </ndxf>
  </rcc>
  <rcc rId="441" sId="4" odxf="1" s="1" dxf="1">
    <nc r="B1587" t="inlineStr">
      <is>
        <t xml:space="preserve">      Barugo, Leyte       </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3" relativeIndent="0" justifyLastLine="0" shrinkToFit="0" mergeCell="0" readingOrder="0"/>
      <border diagonalUp="0" diagonalDown="0" outline="0">
        <left/>
        <right/>
        <top/>
        <bottom/>
      </border>
      <protection locked="1" hidden="0"/>
    </odxf>
    <ndxf>
      <font>
        <sz val="10"/>
        <color auto="1"/>
        <name val="Arial"/>
        <scheme val="none"/>
      </font>
      <fill>
        <patternFill patternType="solid">
          <bgColor rgb="FFFF0000"/>
        </patternFill>
      </fill>
      <alignment vertical="bottom" wrapText="0" indent="0" relativeIndent="0" readingOrder="0"/>
    </ndxf>
  </rcc>
  <rfmt sheetId="4" sqref="B1584:B1587">
    <dxf>
      <fill>
        <patternFill patternType="none">
          <bgColor auto="1"/>
        </patternFill>
      </fill>
    </dxf>
  </rfmt>
  <rfmt sheetId="4" sqref="B1584:B1587" start="0" length="0">
    <dxf>
      <alignment indent="1" relativeIndent="1" readingOrder="0"/>
    </dxf>
  </rfmt>
  <rfmt sheetId="4" sqref="B1584:B1587" start="0" length="0">
    <dxf>
      <alignment indent="2" relativeIndent="1" readingOrder="0"/>
    </dxf>
  </rfmt>
  <rfmt sheetId="4" sqref="B1584:B1587" start="0" length="0">
    <dxf>
      <alignment indent="3" relativeIndent="1" readingOrder="0"/>
    </dxf>
  </rfmt>
  <rrc rId="442" sId="4" ref="A1603:XFD1607" action="insertRow">
    <undo index="8" exp="area" ref3D="1" dr="$U$1:$U$1048576" dn="Z_5032F846_223D_4C05_81F5_66ECC60A941D_.wvu.Cols" sId="4"/>
    <undo index="6" exp="area" ref3D="1" dr="$O$1:$O$1048576" dn="Z_5032F846_223D_4C05_81F5_66ECC60A941D_.wvu.Cols" sId="4"/>
    <undo index="4" exp="area" ref3D="1" dr="$K$1:$M$1048576" dn="Z_5032F846_223D_4C05_81F5_66ECC60A941D_.wvu.Cols" sId="4"/>
    <undo index="2" exp="area" ref3D="1" dr="$H$1:$I$1048576" dn="Z_5032F846_223D_4C05_81F5_66ECC60A941D_.wvu.Cols" sId="4"/>
    <undo index="1" exp="area" ref3D="1" dr="$C$1:$C$1048576" dn="Z_5032F846_223D_4C05_81F5_66ECC60A941D_.wvu.Cols" sId="4"/>
    <undo index="8" exp="area" ref3D="1" dr="$U$1:$U$1048576" dn="Z_0D143C80_1B42_417D_B6C0_C88521CF36C7_.wvu.Cols" sId="4"/>
    <undo index="6" exp="area" ref3D="1" dr="$O$1:$O$1048576" dn="Z_0D143C80_1B42_417D_B6C0_C88521CF36C7_.wvu.Cols" sId="4"/>
    <undo index="4" exp="area" ref3D="1" dr="$K$1:$M$1048576" dn="Z_0D143C80_1B42_417D_B6C0_C88521CF36C7_.wvu.Cols" sId="4"/>
    <undo index="2" exp="area" ref3D="1" dr="$H$1:$I$1048576" dn="Z_0D143C80_1B42_417D_B6C0_C88521CF36C7_.wvu.Cols" sId="4"/>
    <undo index="1" exp="area" ref3D="1" dr="$C$1:$C$1048576" dn="Z_0D143C80_1B42_417D_B6C0_C88521CF36C7_.wvu.Cols" sId="4"/>
  </rrc>
  <rcc rId="443" sId="4" odxf="1" dxf="1">
    <nc r="B1603" t="inlineStr">
      <is>
        <t xml:space="preserve">      Palompon , Leyte</t>
      </is>
    </nc>
    <odxf>
      <font>
        <color auto="1"/>
      </font>
      <fill>
        <patternFill patternType="none">
          <bgColor indexed="65"/>
        </patternFill>
      </fill>
      <alignment wrapText="1" indent="3" relativeIndent="0" readingOrder="0"/>
    </odxf>
    <ndxf>
      <font>
        <sz val="10"/>
        <color auto="1"/>
        <name val="Arial"/>
        <scheme val="none"/>
      </font>
      <fill>
        <patternFill patternType="solid">
          <bgColor theme="0"/>
        </patternFill>
      </fill>
      <alignment wrapText="0" indent="0" relativeIndent="0" readingOrder="0"/>
    </ndxf>
  </rcc>
  <rcc rId="444" sId="4" odxf="1" dxf="1">
    <nc r="B1604" t="inlineStr">
      <is>
        <t xml:space="preserve">      Cabucgayan Biliran </t>
      </is>
    </nc>
    <odxf>
      <font>
        <color auto="1"/>
      </font>
      <fill>
        <patternFill patternType="none">
          <bgColor indexed="65"/>
        </patternFill>
      </fill>
      <alignment wrapText="1" indent="3" relativeIndent="0" readingOrder="0"/>
    </odxf>
    <ndxf>
      <font>
        <sz val="10"/>
        <color auto="1"/>
        <name val="Arial"/>
        <scheme val="none"/>
      </font>
      <fill>
        <patternFill patternType="solid">
          <bgColor rgb="FFFF0000"/>
        </patternFill>
      </fill>
      <alignment wrapText="0" indent="0" relativeIndent="0" readingOrder="0"/>
    </ndxf>
  </rcc>
  <rcc rId="445" sId="4" odxf="1" dxf="1">
    <nc r="B1605" t="inlineStr">
      <is>
        <t xml:space="preserve">      Silago So. Leyte</t>
      </is>
    </nc>
    <odxf>
      <font>
        <color auto="1"/>
      </font>
      <fill>
        <patternFill patternType="none">
          <bgColor indexed="65"/>
        </patternFill>
      </fill>
      <alignment wrapText="1" indent="3" relativeIndent="0" readingOrder="0"/>
    </odxf>
    <ndxf>
      <font>
        <sz val="10"/>
        <color auto="1"/>
        <name val="Arial"/>
        <scheme val="none"/>
      </font>
      <fill>
        <patternFill patternType="solid">
          <bgColor theme="0"/>
        </patternFill>
      </fill>
      <alignment wrapText="0" indent="0" relativeIndent="0" readingOrder="0"/>
    </ndxf>
  </rcc>
  <rcc rId="446" sId="4" odxf="1" dxf="1">
    <nc r="B1606" t="inlineStr">
      <is>
        <t xml:space="preserve">      Libagon So. Leyte</t>
      </is>
    </nc>
    <odxf>
      <font>
        <color auto="1"/>
      </font>
      <fill>
        <patternFill patternType="none">
          <bgColor indexed="65"/>
        </patternFill>
      </fill>
      <alignment wrapText="1" indent="3" relativeIndent="0" readingOrder="0"/>
    </odxf>
    <ndxf>
      <font>
        <sz val="10"/>
        <color auto="1"/>
        <name val="Arial"/>
        <scheme val="none"/>
      </font>
      <fill>
        <patternFill patternType="solid">
          <bgColor theme="0"/>
        </patternFill>
      </fill>
      <alignment wrapText="0" indent="0" relativeIndent="0" readingOrder="0"/>
    </ndxf>
  </rcc>
  <rfmt sheetId="4" sqref="B1603:B1606">
    <dxf>
      <fill>
        <patternFill patternType="none">
          <bgColor auto="1"/>
        </patternFill>
      </fill>
    </dxf>
  </rfmt>
  <rfmt sheetId="4" sqref="T1602" start="0" length="0">
    <dxf>
      <font>
        <b val="0"/>
        <color auto="1"/>
      </font>
      <alignment horizontal="center" wrapText="0" readingOrder="0"/>
    </dxf>
  </rfmt>
  <rcc rId="447" sId="4" odxf="1" s="1" dxf="1">
    <nc r="T1603" t="inlineStr">
      <is>
        <t>Aid to 3,950 indigents</t>
      </is>
    </nc>
    <odxf>
      <font>
        <b/>
        <i val="0"/>
        <strike val="0"/>
        <condense val="0"/>
        <extend val="0"/>
        <outline val="0"/>
        <shadow val="0"/>
        <u val="none"/>
        <vertAlign val="baseline"/>
        <sz val="11"/>
        <color auto="1"/>
        <name val="Calibri"/>
        <scheme val="none"/>
      </font>
      <numFmt numFmtId="167" formatCode="mm/dd/yy;@"/>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numFmt numFmtId="0" formatCode="General"/>
      <alignment horizontal="general" wrapText="0" readingOrder="0"/>
    </ndxf>
  </rcc>
  <rfmt sheetId="4" s="1" sqref="T1604" start="0" length="0">
    <dxf>
      <font>
        <b val="0"/>
        <sz val="11"/>
        <color auto="1"/>
        <name val="Calibri"/>
        <scheme val="none"/>
      </font>
      <numFmt numFmtId="0" formatCode="General"/>
      <fill>
        <patternFill patternType="solid">
          <bgColor rgb="FFFF0000"/>
        </patternFill>
      </fill>
      <alignment horizontal="general" wrapText="0" readingOrder="0"/>
    </dxf>
  </rfmt>
  <rcc rId="448" sId="4" odxf="1" s="1" dxf="1">
    <nc r="T1605" t="inlineStr">
      <is>
        <t>Provisions of medicines to indigent patients</t>
      </is>
    </nc>
    <odxf>
      <font>
        <b/>
        <i val="0"/>
        <strike val="0"/>
        <condense val="0"/>
        <extend val="0"/>
        <outline val="0"/>
        <shadow val="0"/>
        <u val="none"/>
        <vertAlign val="baseline"/>
        <sz val="11"/>
        <color auto="1"/>
        <name val="Calibri"/>
        <scheme val="none"/>
      </font>
      <numFmt numFmtId="167" formatCode="mm/dd/yy;@"/>
      <fill>
        <patternFill patternType="none">
          <fgColor indexed="64"/>
          <bgColor indexed="65"/>
        </patternFill>
      </fill>
      <alignment horizontal="left" vertical="top" textRotation="0" wrapText="1" indent="0" relativeIndent="0" justifyLastLine="0" shrinkToFit="0" mergeCell="0" readingOrder="0"/>
      <border diagonalUp="0" diagonalDown="0" outline="0">
        <left/>
        <right/>
        <top/>
        <bottom/>
      </border>
      <protection locked="1" hidden="0"/>
    </odxf>
    <ndxf>
      <font>
        <b val="0"/>
        <sz val="11"/>
        <color auto="1"/>
        <name val="Calibri"/>
        <scheme val="none"/>
      </font>
      <numFmt numFmtId="0" formatCode="General"/>
      <alignment horizontal="general" readingOrder="0"/>
    </ndxf>
  </rcc>
  <rcc rId="449" sId="4" odxf="1" dxf="1">
    <nc r="T1606" t="inlineStr">
      <is>
        <t>1050 patients availed of the medicines</t>
      </is>
    </nc>
    <odxf>
      <font>
        <b/>
        <color auto="1"/>
      </font>
      <numFmt numFmtId="167" formatCode="mm/dd/yy;@"/>
      <alignment horizontal="left" readingOrder="0"/>
    </odxf>
    <ndxf>
      <font>
        <b val="0"/>
        <sz val="8"/>
        <color auto="1"/>
      </font>
      <numFmt numFmtId="0" formatCode="General"/>
      <alignment horizontal="center" readingOrder="0"/>
    </ndxf>
  </rcc>
  <rfmt sheetId="4" sqref="T1602:T1606">
    <dxf>
      <fill>
        <patternFill patternType="none">
          <bgColor auto="1"/>
        </patternFill>
      </fill>
    </dxf>
  </rfmt>
  <rrc rId="450" sId="2" ref="A161:XFD165" action="insertRow">
    <undo index="8" exp="area" ref3D="1" dr="$II$1:$IO$1048576" dn="Z_5032F846_223D_4C05_81F5_66ECC60A941D_.wvu.Cols" sId="2"/>
    <undo index="6" exp="area" ref3D="1" dr="$T$1:$T$1048576" dn="Z_5032F846_223D_4C05_81F5_66ECC60A941D_.wvu.Cols" sId="2"/>
    <undo index="4" exp="area" ref3D="1" dr="$N$1:$N$1048576" dn="Z_5032F846_223D_4C05_81F5_66ECC60A941D_.wvu.Cols" sId="2"/>
    <undo index="2" exp="area" ref3D="1" dr="$J$1:$L$1048576" dn="Z_5032F846_223D_4C05_81F5_66ECC60A941D_.wvu.Cols" sId="2"/>
    <undo index="1" exp="area" ref3D="1" dr="$G$1:$H$1048576" dn="Z_5032F846_223D_4C05_81F5_66ECC60A941D_.wvu.Cols" sId="2"/>
    <undo index="8" exp="area" ref3D="1" dr="$II$1:$IO$1048576" dn="Z_0D143C80_1B42_417D_B6C0_C88521CF36C7_.wvu.Cols" sId="2"/>
    <undo index="6" exp="area" ref3D="1" dr="$T$1:$T$1048576" dn="Z_0D143C80_1B42_417D_B6C0_C88521CF36C7_.wvu.Cols" sId="2"/>
    <undo index="4" exp="area" ref3D="1" dr="$N$1:$N$1048576" dn="Z_0D143C80_1B42_417D_B6C0_C88521CF36C7_.wvu.Cols" sId="2"/>
    <undo index="2" exp="area" ref3D="1" dr="$J$1:$L$1048576" dn="Z_0D143C80_1B42_417D_B6C0_C88521CF36C7_.wvu.Cols" sId="2"/>
    <undo index="1" exp="area" ref3D="1" dr="$G$1:$H$1048576" dn="Z_0D143C80_1B42_417D_B6C0_C88521CF36C7_.wvu.Cols" sId="2"/>
  </rrc>
  <rcc rId="451" sId="2" odxf="1" dxf="1">
    <nc r="B161" t="inlineStr">
      <is>
        <t>Hindang Leyte</t>
      </is>
    </nc>
    <odxf>
      <alignment horizontal="left" vertical="top" wrapText="1" indent="2" relativeIndent="0" readingOrder="0"/>
    </odxf>
    <ndxf>
      <alignment horizontal="general" vertical="bottom" wrapText="0" indent="0" relativeIndent="0" readingOrder="0"/>
    </ndxf>
  </rcc>
  <rcc rId="452" sId="2" odxf="1" dxf="1">
    <nc r="B162" t="inlineStr">
      <is>
        <t>Mahaplag Leyte</t>
      </is>
    </nc>
    <odxf>
      <alignment horizontal="left" vertical="top" wrapText="1" indent="2" relativeIndent="0" readingOrder="0"/>
    </odxf>
    <ndxf>
      <alignment horizontal="general" vertical="bottom" wrapText="0" indent="0" relativeIndent="0" readingOrder="0"/>
    </ndxf>
  </rcc>
  <rcc rId="453" sId="2" odxf="1" dxf="1">
    <nc r="B163" t="inlineStr">
      <is>
        <t>Culaba Biliran</t>
      </is>
    </nc>
    <odxf>
      <alignment horizontal="left" vertical="top" wrapText="1" indent="2" relativeIndent="0" readingOrder="0"/>
    </odxf>
    <ndxf>
      <alignment horizontal="general" vertical="bottom" wrapText="0" indent="0" relativeIndent="0" readingOrder="0"/>
    </ndxf>
  </rcc>
  <rcc rId="454" sId="2" odxf="1" dxf="1">
    <nc r="B164" t="inlineStr">
      <is>
        <t>Caibiran Biliran</t>
      </is>
    </nc>
    <odxf>
      <fill>
        <patternFill patternType="none">
          <bgColor indexed="65"/>
        </patternFill>
      </fill>
      <alignment horizontal="left" vertical="top" wrapText="1" indent="2" relativeIndent="0" readingOrder="0"/>
    </odxf>
    <ndxf>
      <fill>
        <patternFill patternType="solid">
          <bgColor rgb="FFFF0000"/>
        </patternFill>
      </fill>
      <alignment horizontal="general" vertical="bottom" wrapText="0" indent="0" relativeIndent="0" readingOrder="0"/>
    </ndxf>
  </rcc>
  <rfmt sheetId="2" sqref="B161:B164">
    <dxf>
      <fill>
        <patternFill patternType="none">
          <bgColor auto="1"/>
        </patternFill>
      </fill>
    </dxf>
  </rfmt>
  <rfmt sheetId="2" sqref="B161:B164" start="0" length="0">
    <dxf>
      <alignment horizontal="left" indent="1" relativeIndent="1" readingOrder="0"/>
    </dxf>
  </rfmt>
  <rfmt sheetId="2" sqref="B161:B164" start="0" length="0">
    <dxf>
      <alignment indent="2" relativeIndent="1" readingOrder="0"/>
    </dxf>
  </rfmt>
  <rfmt sheetId="2" sqref="B161:B164" start="0" length="0">
    <dxf>
      <alignment indent="3" relativeIndent="1" readingOrder="0"/>
    </dxf>
  </rfmt>
  <rcc rId="455" sId="2" odxf="1" dxf="1">
    <nc r="S161" t="inlineStr">
      <is>
        <t>Conduct and purchase of medicine for medical mission</t>
      </is>
    </nc>
    <odxf>
      <font>
        <b/>
        <sz val="11"/>
        <name val="Calibri"/>
        <scheme val="none"/>
      </font>
      <alignment vertical="top" readingOrder="0"/>
    </odxf>
    <ndxf>
      <font>
        <b val="0"/>
        <sz val="11"/>
        <name val="Calibri"/>
        <scheme val="none"/>
      </font>
      <alignment vertical="bottom" readingOrder="0"/>
    </ndxf>
  </rcc>
  <rcc rId="456" sId="2" odxf="1" dxf="1">
    <nc r="S162" t="inlineStr">
      <is>
        <t>Purchase of medicine</t>
      </is>
    </nc>
    <odxf>
      <font>
        <b/>
        <sz val="11"/>
        <name val="Calibri"/>
        <scheme val="none"/>
      </font>
      <alignment vertical="top" readingOrder="0"/>
    </odxf>
    <ndxf>
      <font>
        <b val="0"/>
        <sz val="11"/>
        <name val="Calibri"/>
        <scheme val="none"/>
      </font>
      <alignment vertical="bottom" readingOrder="0"/>
    </ndxf>
  </rcc>
  <rcc rId="457" sId="2" odxf="1" dxf="1">
    <nc r="S163" t="inlineStr">
      <is>
        <t>Purchase of medicine- aid to indigent</t>
      </is>
    </nc>
    <odxf>
      <font>
        <b/>
        <sz val="11"/>
        <name val="Calibri"/>
        <scheme val="none"/>
      </font>
      <alignment vertical="top" readingOrder="0"/>
    </odxf>
    <ndxf>
      <font>
        <b val="0"/>
        <sz val="11"/>
        <name val="Calibri"/>
        <scheme val="none"/>
      </font>
      <alignment vertical="bottom" readingOrder="0"/>
    </ndxf>
  </rcc>
  <rrc rId="458" sId="2" ref="A217:XFD220" action="insertRow">
    <undo index="8" exp="area" ref3D="1" dr="$II$1:$IO$1048576" dn="Z_5032F846_223D_4C05_81F5_66ECC60A941D_.wvu.Cols" sId="2"/>
    <undo index="6" exp="area" ref3D="1" dr="$T$1:$T$1048576" dn="Z_5032F846_223D_4C05_81F5_66ECC60A941D_.wvu.Cols" sId="2"/>
    <undo index="4" exp="area" ref3D="1" dr="$N$1:$N$1048576" dn="Z_5032F846_223D_4C05_81F5_66ECC60A941D_.wvu.Cols" sId="2"/>
    <undo index="2" exp="area" ref3D="1" dr="$J$1:$L$1048576" dn="Z_5032F846_223D_4C05_81F5_66ECC60A941D_.wvu.Cols" sId="2"/>
    <undo index="1" exp="area" ref3D="1" dr="$G$1:$H$1048576" dn="Z_5032F846_223D_4C05_81F5_66ECC60A941D_.wvu.Cols" sId="2"/>
    <undo index="8" exp="area" ref3D="1" dr="$II$1:$IO$1048576" dn="Z_0D143C80_1B42_417D_B6C0_C88521CF36C7_.wvu.Cols" sId="2"/>
    <undo index="6" exp="area" ref3D="1" dr="$T$1:$T$1048576" dn="Z_0D143C80_1B42_417D_B6C0_C88521CF36C7_.wvu.Cols" sId="2"/>
    <undo index="4" exp="area" ref3D="1" dr="$N$1:$N$1048576" dn="Z_0D143C80_1B42_417D_B6C0_C88521CF36C7_.wvu.Cols" sId="2"/>
    <undo index="2" exp="area" ref3D="1" dr="$J$1:$L$1048576" dn="Z_0D143C80_1B42_417D_B6C0_C88521CF36C7_.wvu.Cols" sId="2"/>
    <undo index="1" exp="area" ref3D="1" dr="$G$1:$H$1048576" dn="Z_0D143C80_1B42_417D_B6C0_C88521CF36C7_.wvu.Cols" sId="2"/>
  </rrc>
  <rcc rId="459" sId="2" odxf="1" dxf="1">
    <nc r="B217" t="inlineStr">
      <is>
        <t>Sulat E. Samar</t>
      </is>
    </nc>
    <odxf>
      <alignment horizontal="left" vertical="top" wrapText="1" indent="2" relativeIndent="0" readingOrder="0"/>
    </odxf>
    <ndxf>
      <alignment horizontal="general" vertical="bottom" wrapText="0" indent="0" relativeIndent="0" readingOrder="0"/>
    </ndxf>
  </rcc>
  <rcc rId="460" sId="2" odxf="1" dxf="1">
    <nc r="B218" t="inlineStr">
      <is>
        <t>Lllorente</t>
      </is>
    </nc>
    <odxf>
      <fill>
        <patternFill patternType="none">
          <bgColor indexed="65"/>
        </patternFill>
      </fill>
      <alignment horizontal="left" vertical="top" wrapText="1" indent="2" relativeIndent="0" readingOrder="0"/>
    </odxf>
    <ndxf>
      <fill>
        <patternFill patternType="solid">
          <bgColor rgb="FF0070C0"/>
        </patternFill>
      </fill>
      <alignment horizontal="general" vertical="bottom" wrapText="0" indent="0" relativeIndent="0" readingOrder="0"/>
    </ndxf>
  </rcc>
  <rcc rId="461" sId="2" odxf="1" s="1" dxf="1">
    <nc r="B219" t="inlineStr">
      <is>
        <t>Dolores</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left" vertical="top" textRotation="0" wrapText="1" indent="2" relativeIndent="0" justifyLastLine="0" shrinkToFit="0" mergeCell="0" readingOrder="0"/>
      <border diagonalUp="0" diagonalDown="0" outline="0">
        <left/>
        <right/>
        <top/>
        <bottom/>
      </border>
      <protection locked="1" hidden="0"/>
    </odxf>
    <ndxf>
      <font>
        <sz val="11"/>
        <color theme="1"/>
        <name val="Calibri"/>
        <scheme val="minor"/>
      </font>
      <alignment horizontal="general" vertical="bottom" wrapText="0" indent="0" relativeIndent="0" readingOrder="0"/>
    </ndxf>
  </rcc>
  <rfmt sheetId="2" sqref="B217:B219" start="0" length="0">
    <dxf>
      <alignment horizontal="left" indent="1" relativeIndent="1" readingOrder="0"/>
    </dxf>
  </rfmt>
  <rfmt sheetId="2" sqref="B217:B219" start="0" length="0">
    <dxf>
      <alignment indent="2" relativeIndent="1" readingOrder="0"/>
    </dxf>
  </rfmt>
  <rfmt sheetId="2" sqref="B217:B219">
    <dxf>
      <fill>
        <patternFill patternType="none">
          <bgColor auto="1"/>
        </patternFill>
      </fill>
    </dxf>
  </rfmt>
  <rcc rId="462" sId="2" odxf="1" s="1" dxf="1">
    <nc r="S217" t="inlineStr">
      <is>
        <t>Rehab of Brgy Baybay Road</t>
      </is>
    </nc>
    <odxf>
      <font>
        <b/>
        <i val="0"/>
        <strike val="0"/>
        <condense val="0"/>
        <extend val="0"/>
        <outline val="0"/>
        <shadow val="0"/>
        <u val="none"/>
        <vertAlign val="baseline"/>
        <sz val="11"/>
        <color auto="1"/>
        <name val="Calibri"/>
        <scheme val="none"/>
      </font>
      <numFmt numFmtId="164" formatCode="_(* #,##0_);_(* \(#,##0\);_(* &quot;-&quot;??_);_(@_)"/>
      <fill>
        <patternFill patternType="none">
          <fgColor indexed="64"/>
          <bgColor indexed="65"/>
        </patternFill>
      </fill>
      <alignment horizontal="general" vertical="top" textRotation="0" wrapText="0" indent="0" relativeIndent="0" justifyLastLine="0" shrinkToFit="0" mergeCell="0" readingOrder="0"/>
      <border diagonalUp="0" diagonalDown="0" outline="0">
        <left/>
        <right/>
        <top/>
        <bottom/>
      </border>
    </odxf>
    <ndxf>
      <font>
        <b val="0"/>
        <sz val="11"/>
        <color theme="1"/>
        <name val="Calibri"/>
        <scheme val="minor"/>
      </font>
      <numFmt numFmtId="0" formatCode="General"/>
      <alignment vertical="bottom" wrapText="1" readingOrder="0"/>
    </ndxf>
  </rcc>
  <rfmt sheetId="2" s="1" sqref="S218" start="0" length="0">
    <dxf>
      <font>
        <b val="0"/>
        <sz val="8"/>
        <color theme="1"/>
        <name val="Calibri"/>
        <scheme val="minor"/>
      </font>
      <numFmt numFmtId="0" formatCode="General"/>
      <fill>
        <patternFill patternType="solid">
          <bgColor rgb="FF0070C0"/>
        </patternFill>
      </fill>
      <alignment vertical="bottom" wrapText="1" readingOrder="0"/>
    </dxf>
  </rfmt>
  <rcc rId="463" sId="2" odxf="1" s="1" dxf="1">
    <nc r="S219" t="inlineStr">
      <is>
        <t>STREET CONCRETING BRGY 11</t>
      </is>
    </nc>
    <odxf>
      <font>
        <b/>
        <i val="0"/>
        <strike val="0"/>
        <condense val="0"/>
        <extend val="0"/>
        <outline val="0"/>
        <shadow val="0"/>
        <u val="none"/>
        <vertAlign val="baseline"/>
        <sz val="11"/>
        <color auto="1"/>
        <name val="Calibri"/>
        <scheme val="none"/>
      </font>
      <numFmt numFmtId="164" formatCode="_(* #,##0_);_(* \(#,##0\);_(* &quot;-&quot;??_);_(@_)"/>
      <fill>
        <patternFill patternType="none">
          <fgColor indexed="64"/>
          <bgColor indexed="65"/>
        </patternFill>
      </fill>
      <alignment horizontal="general" vertical="top" textRotation="0" wrapText="0" indent="0" relativeIndent="0" justifyLastLine="0" shrinkToFit="0" mergeCell="0" readingOrder="0"/>
      <border diagonalUp="0" diagonalDown="0" outline="0">
        <left/>
        <right/>
        <top/>
        <bottom/>
      </border>
    </odxf>
    <ndxf>
      <font>
        <b val="0"/>
        <sz val="9"/>
        <color theme="1"/>
        <name val="Calibri"/>
        <scheme val="minor"/>
      </font>
      <numFmt numFmtId="0" formatCode="General"/>
      <alignment vertical="bottom" readingOrder="0"/>
    </ndxf>
  </rcc>
  <rfmt sheetId="2" sqref="S217:S219">
    <dxf>
      <fill>
        <patternFill patternType="none">
          <bgColor auto="1"/>
        </patternFill>
      </fill>
    </dxf>
  </rfmt>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2'!$A$1:$U$118</formula>
    <oldFormula>'DAP 2'!$A$1:$U$118</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31111.xml><?xml version="1.0" encoding="utf-8"?>
<revisions xmlns="http://schemas.openxmlformats.org/spreadsheetml/2006/main" xmlns:r="http://schemas.openxmlformats.org/officeDocument/2006/relationships">
  <rcc rId="142" sId="6" odxf="1" s="1" dxf="1" numFmtId="34">
    <oc r="R1845">
      <v>104</v>
    </oc>
    <nc r="R1845">
      <f>479+12+4</f>
    </nc>
    <odxf>
      <font>
        <b/>
        <i val="0"/>
        <strike val="0"/>
        <condense val="0"/>
        <extend val="0"/>
        <outline val="0"/>
        <shadow val="0"/>
        <u val="none"/>
        <vertAlign val="baseline"/>
        <sz val="11"/>
        <color auto="1"/>
        <name val="Calibri"/>
        <scheme val="none"/>
      </font>
      <numFmt numFmtId="164" formatCode="_(* #,##0_);_(* \(#,##0\);_(* &quot;-&quot;??_);_(@_)"/>
      <fill>
        <patternFill patternType="none">
          <fgColor indexed="64"/>
          <bgColor indexed="65"/>
        </patternFill>
      </fill>
      <alignment horizontal="general" vertical="top" textRotation="0" wrapText="0" indent="0" relativeIndent="0" justifyLastLine="0" shrinkToFit="0" mergeCell="0" readingOrder="0"/>
      <border diagonalUp="0" diagonalDown="0" outline="0">
        <left/>
        <right/>
        <top/>
        <bottom/>
      </border>
    </odxf>
    <ndxf>
      <font>
        <sz val="11"/>
        <color auto="1"/>
        <name val="Calibri"/>
        <scheme val="minor"/>
      </font>
    </ndxf>
  </rcc>
  <rcc rId="143" sId="6" odxf="1" dxf="1">
    <nc r="S1845" t="inlineStr">
      <is>
        <t>184 scholars</t>
      </is>
    </nc>
    <odxf>
      <alignment wrapText="1" readingOrder="0"/>
    </odxf>
    <ndxf>
      <alignment wrapText="0" readingOrder="0"/>
    </ndxf>
  </rcc>
  <rcc rId="144" sId="6" numFmtId="34">
    <oc r="R2006">
      <f>120.4+357</f>
    </oc>
    <nc r="R2006">
      <v>653.1</v>
    </nc>
  </rcc>
  <rcc rId="145" sId="6" odxf="1" dxf="1">
    <oc r="S2006" t="inlineStr">
      <is>
        <t>95 scholars</t>
      </is>
    </oc>
    <nc r="S2006" t="inlineStr">
      <is>
        <t>58 scholars</t>
      </is>
    </nc>
    <odxf>
      <font>
        <sz val="11"/>
        <name val="Calibri"/>
        <scheme val="minor"/>
      </font>
      <alignment wrapText="1" readingOrder="0"/>
    </odxf>
    <ndxf>
      <font>
        <sz val="11"/>
        <name val="Calibri"/>
        <scheme val="none"/>
      </font>
      <alignment wrapText="0" readingOrder="0"/>
    </ndxf>
  </rcc>
  <rcc rId="146" sId="6" numFmtId="13">
    <oc r="S2009">
      <v>1</v>
    </oc>
    <nc r="S2009" t="inlineStr">
      <is>
        <t xml:space="preserve">100% construction of academic facilities (Library) at the Pedro Rebadulla Memorial Campus </t>
      </is>
    </nc>
  </rcc>
  <rcc rId="147" sId="6" numFmtId="34">
    <oc r="R2010">
      <v>837</v>
    </oc>
    <nc r="R2010">
      <v>1563</v>
    </nc>
  </rcc>
  <rcc rId="148" sId="6" odxf="1" dxf="1" numFmtId="13" quotePrefix="1">
    <oc r="S2010">
      <v>0.36</v>
    </oc>
    <nc r="S2010" t="inlineStr">
      <is>
        <t>68% Construction of a Multi-Purpose Building in the UEP-Pedro Rebadulla Memorial College, Catubig, Northern Samar (DAP)</t>
      </is>
    </nc>
    <odxf/>
    <ndxf/>
  </rcc>
  <rcc rId="149" sId="6">
    <oc r="S2108" t="inlineStr">
      <is>
        <t>On- Going ( 80 - 96% completed)</t>
      </is>
    </oc>
    <nc r="S2108"/>
  </rcc>
  <rcc rId="150" sId="6">
    <nc r="S2182" t="inlineStr">
      <is>
        <t>Municipal gym bleacher fully concrete, stainless railings in good structural</t>
      </is>
    </nc>
  </rcc>
  <rrc rId="151" sId="6" ref="A2358:XFD2359" action="insertRow">
    <undo index="6" exp="area" ref3D="1" dr="$A$2684:$XFD$2684" dn="Z_5032F846_223D_4C05_81F5_66ECC60A941D_.wvu.Rows" sId="6"/>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4" exp="area" ref3D="1" dr="$A$2684:$XFD$2684"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152" sId="6" odxf="1" dxf="1">
    <nc r="B2358" t="inlineStr">
      <is>
        <t xml:space="preserve">      Palompon Leyte </t>
      </is>
    </nc>
    <odxf>
      <font>
        <color auto="1"/>
      </font>
      <alignment horizontal="left" vertical="top" wrapText="1" readingOrder="0"/>
    </odxf>
    <ndxf>
      <font>
        <sz val="11"/>
        <color theme="1"/>
        <name val="Calibri"/>
        <scheme val="minor"/>
      </font>
      <alignment horizontal="general" vertical="bottom" wrapText="0" readingOrder="0"/>
    </ndxf>
  </rcc>
  <rcc rId="153" sId="6" odxf="1" dxf="1">
    <nc r="B2359" t="inlineStr">
      <is>
        <t xml:space="preserve">      Calubian Leyte</t>
      </is>
    </nc>
    <odxf>
      <font>
        <color auto="1"/>
      </font>
      <fill>
        <patternFill patternType="none">
          <bgColor indexed="65"/>
        </patternFill>
      </fill>
      <alignment horizontal="left" vertical="top" wrapText="1" readingOrder="0"/>
    </odxf>
    <ndxf>
      <font>
        <sz val="11"/>
        <color theme="1"/>
        <name val="Calibri"/>
        <scheme val="minor"/>
      </font>
      <fill>
        <patternFill patternType="solid">
          <bgColor rgb="FFFF0000"/>
        </patternFill>
      </fill>
      <alignment horizontal="general" vertical="bottom" wrapText="0" readingOrder="0"/>
    </ndxf>
  </rcc>
  <rcc rId="154" sId="6" numFmtId="34">
    <oc r="Q2357">
      <v>5000</v>
    </oc>
    <nc r="Q2357">
      <f>SUM(Q2358:Q2359)</f>
    </nc>
  </rcc>
  <rcc rId="155" sId="6" numFmtId="34">
    <oc r="R2357">
      <v>5000</v>
    </oc>
    <nc r="R2357">
      <f>SUM(R2358:R2359)</f>
    </nc>
  </rcc>
  <rfmt sheetId="6" sqref="Q2357:R2357" start="0" length="0">
    <dxf>
      <border>
        <bottom style="thin">
          <color indexed="64"/>
        </bottom>
      </border>
    </dxf>
  </rfmt>
  <rcc rId="156" sId="6" numFmtId="34">
    <nc r="Q2358">
      <v>2500</v>
    </nc>
  </rcc>
  <rcc rId="157" sId="6" numFmtId="34">
    <nc r="R2358">
      <v>2500</v>
    </nc>
  </rcc>
  <rcc rId="158" sId="6" numFmtId="34">
    <nc r="Q2359">
      <v>2500</v>
    </nc>
  </rcc>
  <rcc rId="159" sId="6" numFmtId="34">
    <nc r="R2359">
      <v>2500</v>
    </nc>
  </rcc>
  <rcc rId="160" sId="6">
    <nc r="S2358" t="inlineStr">
      <is>
        <t>Aid to 13,381 indigents</t>
      </is>
    </nc>
  </rcc>
  <rrc rId="161" sId="6" ref="A2418:XFD2421" action="insertRow">
    <undo index="6" exp="area" ref3D="1" dr="$A$2686:$XFD$2686" dn="Z_5032F846_223D_4C05_81F5_66ECC60A941D_.wvu.Rows" sId="6"/>
    <undo index="6" exp="area" ref3D="1" dr="$X$1:$Y$1048576" dn="Z_5032F846_223D_4C05_81F5_66ECC60A941D_.wvu.Cols" sId="6"/>
    <undo index="4" exp="area" ref3D="1" dr="$V$1:$V$1048576" dn="Z_5032F846_223D_4C05_81F5_66ECC60A941D_.wvu.Cols" sId="6"/>
    <undo index="2" exp="area" ref3D="1" dr="$N$1:$N$1048576" dn="Z_5032F846_223D_4C05_81F5_66ECC60A941D_.wvu.Cols" sId="6"/>
    <undo index="1" exp="area" ref3D="1" dr="$J$1:$L$1048576" dn="Z_5032F846_223D_4C05_81F5_66ECC60A941D_.wvu.Cols" sId="6"/>
    <undo index="4" exp="area" ref3D="1" dr="$A$2686:$XFD$2686" dn="Z_0D143C80_1B42_417D_B6C0_C88521CF36C7_.wvu.Rows" sId="6"/>
    <undo index="8" exp="area" ref3D="1" dr="$X$1:$Y$1048576" dn="Z_0D143C80_1B42_417D_B6C0_C88521CF36C7_.wvu.Cols" sId="6"/>
    <undo index="6" exp="area" ref3D="1" dr="$V$1:$V$1048576" dn="Z_0D143C80_1B42_417D_B6C0_C88521CF36C7_.wvu.Cols" sId="6"/>
    <undo index="4" exp="area" ref3D="1" dr="$N$1:$N$1048576" dn="Z_0D143C80_1B42_417D_B6C0_C88521CF36C7_.wvu.Cols" sId="6"/>
    <undo index="2" exp="area" ref3D="1" dr="$J$1:$L$1048576" dn="Z_0D143C80_1B42_417D_B6C0_C88521CF36C7_.wvu.Cols" sId="6"/>
    <undo index="1" exp="area" ref3D="1" dr="$G$1:$H$1048576" dn="Z_0D143C80_1B42_417D_B6C0_C88521CF36C7_.wvu.Cols" sId="6"/>
  </rrc>
  <rcc rId="162" sId="6" odxf="1" dxf="1">
    <nc r="B2418" t="inlineStr">
      <is>
        <t xml:space="preserve">        Guiuan E. Samar</t>
      </is>
    </nc>
    <odxf>
      <alignment horizontal="left" vertical="top" wrapText="1" readingOrder="0"/>
    </odxf>
    <ndxf>
      <alignment horizontal="general" vertical="bottom" wrapText="0" readingOrder="0"/>
    </ndxf>
  </rcc>
  <rcc rId="163" sId="6" odxf="1" dxf="1">
    <nc r="B2419" t="inlineStr">
      <is>
        <t xml:space="preserve">      Calubian, Leyte</t>
      </is>
    </nc>
    <odxf>
      <font>
        <color auto="1"/>
      </font>
      <fill>
        <patternFill patternType="none">
          <bgColor indexed="65"/>
        </patternFill>
      </fill>
      <alignment wrapText="1" readingOrder="0"/>
    </odxf>
    <ndxf>
      <font>
        <sz val="10"/>
        <color auto="1"/>
        <name val="Arial"/>
        <scheme val="none"/>
      </font>
      <fill>
        <patternFill patternType="solid">
          <bgColor rgb="FFFF0000"/>
        </patternFill>
      </fill>
      <alignment wrapText="0" readingOrder="0"/>
    </ndxf>
  </rcc>
  <rcc rId="164" sId="6" odxf="1" dxf="1">
    <nc r="B2420" t="inlineStr">
      <is>
        <t xml:space="preserve">      Biliran, Biliran</t>
      </is>
    </nc>
    <odxf>
      <font>
        <color auto="1"/>
      </font>
      <fill>
        <patternFill patternType="none">
          <bgColor indexed="65"/>
        </patternFill>
      </fill>
      <alignment wrapText="1" readingOrder="0"/>
    </odxf>
    <ndxf>
      <font>
        <sz val="10"/>
        <color auto="1"/>
        <name val="Arial"/>
        <scheme val="none"/>
      </font>
      <fill>
        <patternFill patternType="solid">
          <bgColor rgb="FFFFFF00"/>
        </patternFill>
      </fill>
      <alignment wrapText="0" readingOrder="0"/>
    </ndxf>
  </rcc>
  <rcc rId="165" sId="6" odxf="1" dxf="1">
    <nc r="B2421" t="inlineStr">
      <is>
        <t xml:space="preserve">      Palompon, Leyte</t>
      </is>
    </nc>
    <odxf>
      <font>
        <color auto="1"/>
      </font>
      <fill>
        <patternFill patternType="none">
          <bgColor indexed="65"/>
        </patternFill>
      </fill>
      <alignment wrapText="1" readingOrder="0"/>
    </odxf>
    <ndxf>
      <font>
        <sz val="10"/>
        <color auto="1"/>
        <name val="Arial"/>
        <scheme val="none"/>
      </font>
      <fill>
        <patternFill patternType="solid">
          <bgColor theme="0"/>
        </patternFill>
      </fill>
      <alignment wrapText="0" readingOrder="0"/>
    </ndxf>
  </rcc>
  <rfmt sheetId="6" sqref="B2418:B2421">
    <dxf>
      <fill>
        <patternFill patternType="none">
          <bgColor auto="1"/>
        </patternFill>
      </fill>
    </dxf>
  </rfmt>
  <rcc rId="166" sId="6" numFmtId="34">
    <oc r="Q2417">
      <v>10000</v>
    </oc>
    <nc r="Q2417">
      <f>SUM(Q2418:Q2421)</f>
    </nc>
  </rcc>
  <rcc rId="167" sId="6" numFmtId="34">
    <oc r="R2417">
      <v>10000</v>
    </oc>
    <nc r="R2417">
      <f>SUM(R2418:R2421)</f>
    </nc>
  </rcc>
  <rfmt sheetId="6" sqref="Q2417:R2417" start="0" length="0">
    <dxf>
      <border>
        <bottom style="thin">
          <color indexed="64"/>
        </bottom>
      </border>
    </dxf>
  </rfmt>
  <rcc rId="168" sId="6" numFmtId="34">
    <nc r="Q2418">
      <v>3000</v>
    </nc>
  </rcc>
  <rfmt sheetId="6" sqref="Q2419" start="0" length="0">
    <dxf>
      <fill>
        <patternFill patternType="solid">
          <bgColor rgb="FFFF0000"/>
        </patternFill>
      </fill>
    </dxf>
  </rfmt>
  <rcc rId="169" sId="6" odxf="1" dxf="1" numFmtId="34">
    <nc r="Q2420">
      <v>2000</v>
    </nc>
    <odxf>
      <fill>
        <patternFill patternType="none">
          <bgColor indexed="65"/>
        </patternFill>
      </fill>
    </odxf>
    <ndxf>
      <fill>
        <patternFill patternType="solid">
          <bgColor rgb="FFFFFF00"/>
        </patternFill>
      </fill>
    </ndxf>
  </rcc>
  <rcc rId="170" sId="6" numFmtId="34">
    <nc r="Q2421">
      <v>2500</v>
    </nc>
  </rcc>
  <rcc rId="171" sId="6" numFmtId="34">
    <nc r="Q2419">
      <v>2500</v>
    </nc>
  </rcc>
  <rfmt sheetId="6" sqref="Q2418:Q2421">
    <dxf>
      <fill>
        <patternFill patternType="none">
          <bgColor auto="1"/>
        </patternFill>
      </fill>
    </dxf>
  </rfmt>
  <rcc rId="172" sId="6" numFmtId="34">
    <nc r="R2418">
      <v>2998</v>
    </nc>
  </rcc>
  <rfmt sheetId="6" sqref="R2419" start="0" length="0">
    <dxf>
      <fill>
        <patternFill patternType="solid">
          <bgColor rgb="FFFF0000"/>
        </patternFill>
      </fill>
    </dxf>
  </rfmt>
  <rcc rId="173" sId="6" odxf="1" dxf="1" numFmtId="34">
    <nc r="R2420">
      <v>1996</v>
    </nc>
    <odxf>
      <fill>
        <patternFill patternType="none">
          <bgColor indexed="65"/>
        </patternFill>
      </fill>
    </odxf>
    <ndxf>
      <fill>
        <patternFill patternType="solid">
          <bgColor rgb="FFFFFF00"/>
        </patternFill>
      </fill>
    </ndxf>
  </rcc>
  <rcc rId="174" sId="6" numFmtId="34">
    <nc r="R2421">
      <v>2500</v>
    </nc>
  </rcc>
  <rfmt sheetId="6" sqref="R2418:R2421">
    <dxf>
      <fill>
        <patternFill patternType="none">
          <bgColor auto="1"/>
        </patternFill>
      </fill>
    </dxf>
  </rfmt>
  <rcc rId="175" sId="6">
    <nc r="S2418" t="inlineStr">
      <is>
        <t>Procured medicines and assistance to displaced persons</t>
      </is>
    </nc>
  </rcc>
  <rcc rId="176" sId="6">
    <nc r="S2421" t="inlineStr">
      <is>
        <t>Aid to 10,805 indigents</t>
      </is>
    </nc>
  </rcc>
  <rcc rId="177" sId="6">
    <nc r="S2443" t="inlineStr">
      <is>
        <t>CONST OF SEAWALL BAYBAY BOUEVARD, BORONGAN CITY</t>
      </is>
    </nc>
  </rcc>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'DAP5'!$B$1:$U$296</formula>
    <oldFormula>'DAP5'!$B$1:$U$296</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3'!$B$1:$V$1592</formula>
    <oldFormula>'DAP 3'!$B$1:$V$1592</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2'!$A$1:$U$118</formula>
    <oldFormula>'DAP 2'!$A$1:$U$118</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'DAP1'!$A$1:$W$2833</formula>
    <oldFormula>'DAP1'!$A$1:$W$2833</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'DAP1'!$196:$214,'DAP1'!$421:$421,'DAP1'!$2101:$2107,'DAP1'!$2690:$2690</formula>
    <oldFormula>'DAP1'!$196:$214,'DAP1'!$421:$421,'DAP1'!$2101:$2107,'DAP1'!$2690:$2690</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4.xml><?xml version="1.0" encoding="utf-8"?>
<revisions xmlns="http://schemas.openxmlformats.org/spreadsheetml/2006/main" xmlns:r="http://schemas.openxmlformats.org/officeDocument/2006/relationships">
  <rcc rId="742" sId="6" numFmtId="19">
    <nc r="D337">
      <v>40868</v>
    </nc>
  </rcc>
  <rfmt sheetId="6" sqref="E337:F337" start="0" length="2147483647">
    <dxf>
      <font>
        <color auto="1"/>
      </font>
    </dxf>
  </rfmt>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2'!$A$1:$U$120</formula>
    <oldFormula>'DAP 2'!$A$1:$U$120</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'DAP1'!$G:$G,'DAP1'!$J:$L,'DAP1'!$N:$N,'DAP1'!$V:$V,'DAP1'!$X:$Y</formula>
    <oldFormula>'DAP1'!$G:$G,'DAP1'!$J:$L,'DAP1'!$N:$N,'DAP1'!$V:$V,'DAP1'!$X:$Y</oldFormula>
  </rdn>
  <rcv guid="{5032F846-223D-4C05-81F5-66ECC60A941D}" action="add"/>
</revisions>
</file>

<file path=xl/revisions/revisionLog141.xml><?xml version="1.0" encoding="utf-8"?>
<revisions xmlns="http://schemas.openxmlformats.org/spreadsheetml/2006/main" xmlns:r="http://schemas.openxmlformats.org/officeDocument/2006/relationships">
  <rfmt sheetId="6" sqref="E81" start="0" length="0">
    <dxf>
      <font>
        <sz val="11"/>
        <color rgb="FFFF0000"/>
        <name val="Calibri"/>
        <scheme val="none"/>
      </font>
      <fill>
        <patternFill patternType="solid">
          <bgColor theme="0" tint="-0.14999847407452621"/>
        </patternFill>
      </fill>
    </dxf>
  </rfmt>
  <rfmt sheetId="6" sqref="F81" start="0" length="0">
    <dxf>
      <font>
        <sz val="11"/>
        <color rgb="FFFF0000"/>
        <name val="Calibri"/>
        <scheme val="none"/>
      </font>
      <fill>
        <patternFill patternType="solid">
          <bgColor theme="0" tint="-0.14999847407452621"/>
        </patternFill>
      </fill>
    </dxf>
  </rfmt>
  <rcc rId="616" sId="6" odxf="1" dxf="1">
    <oc r="E81" t="inlineStr">
      <is>
        <t xml:space="preserve">B.I.b  </t>
      </is>
    </oc>
    <nc r="E81" t="inlineStr">
      <is>
        <t xml:space="preserve">B.II.b  </t>
      </is>
    </nc>
    <ndxf>
      <font>
        <sz val="11"/>
        <color rgb="FFFF0000"/>
        <name val="Calibri"/>
        <scheme val="none"/>
      </font>
      <fill>
        <patternFill patternType="none">
          <bgColor indexed="65"/>
        </patternFill>
      </fill>
      <alignment wrapText="0" readingOrder="0"/>
    </ndxf>
  </rcc>
  <rcc rId="617" sId="6" odxf="1" dxf="1">
    <oc r="F81" t="inlineStr">
      <is>
        <t>Repair/Rehabilitation &amp; Construction of Farm to Market Roads in the designated Key Production Areas</t>
      </is>
    </oc>
    <nc r="F81" t="inlineStr">
      <is>
        <t>Mindanao Rural Development Project, APL 2 (IBRD)</t>
      </is>
    </nc>
    <ndxf>
      <font>
        <sz val="11"/>
        <color rgb="FFFF0000"/>
        <name val="Calibri"/>
        <scheme val="none"/>
      </font>
      <fill>
        <patternFill patternType="none">
          <bgColor indexed="65"/>
        </patternFill>
      </fill>
    </ndxf>
  </rcc>
  <rfmt sheetId="2" s="1" sqref="E276" start="0" length="0">
    <dxf>
      <font>
        <sz val="11"/>
        <color rgb="FFFF0000"/>
        <name val="Calibri"/>
        <scheme val="none"/>
      </font>
      <numFmt numFmtId="0" formatCode="General"/>
    </dxf>
  </rfmt>
  <rcc rId="618" sId="2">
    <oc r="F276" t="inlineStr">
      <is>
        <t xml:space="preserve"> Repair/Rehabilitation and Construction of Farm to Market Roads in the Designated Key Production Areas</t>
      </is>
    </oc>
    <nc r="F276" t="inlineStr">
      <is>
        <t>Repair/Rehabilitation and Construction of Farm to Market Roads in the Designated Key Production Areas</t>
      </is>
    </nc>
  </rcc>
  <rcc rId="619" sId="2" odxf="1" s="1" dxf="1">
    <oc r="E276" t="inlineStr">
      <is>
        <t xml:space="preserve">B.I.b. </t>
      </is>
    </oc>
    <nc r="E276" t="inlineStr">
      <is>
        <t>B.I.b.m</t>
      </is>
    </nc>
    <ndxf>
      <font>
        <sz val="11"/>
        <color auto="1"/>
        <name val="Calibri"/>
        <scheme val="none"/>
      </font>
      <numFmt numFmtId="165" formatCode="[$-3409]dd\-mmm\-yy;@"/>
    </ndxf>
  </rcc>
  <rfmt sheetId="6" sqref="E353" start="0" length="0">
    <dxf>
      <fill>
        <patternFill patternType="solid">
          <bgColor theme="0" tint="-0.14999847407452621"/>
        </patternFill>
      </fill>
    </dxf>
  </rfmt>
  <rfmt sheetId="6" sqref="F353" start="0" length="0">
    <dxf>
      <fill>
        <patternFill patternType="solid">
          <bgColor theme="0" tint="-0.14999847407452621"/>
        </patternFill>
      </fill>
    </dxf>
  </rfmt>
  <rfmt sheetId="6" s="1" sqref="E353" start="0" length="0">
    <dxf>
      <numFmt numFmtId="0" formatCode="General"/>
      <fill>
        <patternFill patternType="none">
          <bgColor indexed="65"/>
        </patternFill>
      </fill>
    </dxf>
  </rfmt>
  <rfmt sheetId="6" s="1" sqref="F353" start="0" length="0">
    <dxf>
      <numFmt numFmtId="0" formatCode="General"/>
      <fill>
        <patternFill patternType="none">
          <bgColor indexed="65"/>
        </patternFill>
      </fill>
    </dxf>
  </rfmt>
  <rcc rId="620" sId="6" odxf="1" dxf="1">
    <oc r="F1563" t="inlineStr">
      <is>
        <t>Filed Operation of Alternative Learning System including implementation of Accreditation and Equivalent System</t>
      </is>
    </oc>
    <nc r="F1563" t="inlineStr">
      <is>
        <t>Field Operation of Alternative Learning System including implementation of Accreditation and Equivalency System</t>
      </is>
    </nc>
    <odxf>
      <font>
        <sz val="11"/>
        <name val="Calibri"/>
        <scheme val="none"/>
      </font>
    </odxf>
    <ndxf>
      <font>
        <sz val="11"/>
        <color rgb="FFFF0000"/>
        <name val="Calibri"/>
        <scheme val="none"/>
      </font>
    </ndxf>
  </rcc>
  <rfmt sheetId="6" sqref="E1563:F1563" start="0" length="2147483647">
    <dxf>
      <font>
        <color auto="1"/>
      </font>
    </dxf>
  </rfmt>
  <rcc rId="621" sId="2" odxf="1" s="1" dxf="1">
    <nc r="E33" t="inlineStr">
      <is>
        <t xml:space="preserve">A.III.a.1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odxf>
    <ndxf>
      <numFmt numFmtId="0" formatCode="General"/>
    </ndxf>
  </rcc>
  <rcc rId="622" sId="2" odxf="1" dxf="1">
    <oc r="F33" t="inlineStr">
      <is>
        <t>A.III.a.1 - Field operations of Alternative Learning Systems including Implementation of Accreditation and Equivalent System</t>
      </is>
    </oc>
    <nc r="F33" t="inlineStr">
      <is>
        <t>Field operations of Alternative Learning Systems including Implementation of Accreditation and Equivalent System</t>
      </is>
    </nc>
    <odxf/>
    <ndxf/>
  </rcc>
  <rcc rId="623" sId="4" odxf="1" s="1" dxf="1">
    <oc r="F117" t="inlineStr">
      <is>
        <t>A.III.b.a</t>
      </is>
    </oc>
    <nc r="F117" t="inlineStr">
      <is>
        <t xml:space="preserve">A.III.b.1 </t>
      </is>
    </nc>
    <odxf>
      <font>
        <b val="0"/>
        <i val="0"/>
        <strike val="0"/>
        <condense val="0"/>
        <extend val="0"/>
        <outline val="0"/>
        <shadow val="0"/>
        <u val="none"/>
        <vertAlign val="baseline"/>
        <sz val="11"/>
        <color auto="1"/>
        <name val="Calibri"/>
        <scheme val="minor"/>
      </font>
      <numFmt numFmtId="165" formatCode="[$-3409]dd\-mmm\-yy;@"/>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odxf>
    <ndxf>
      <font>
        <sz val="11"/>
        <color rgb="FFFF0000"/>
        <name val="Calibri"/>
        <scheme val="minor"/>
      </font>
      <numFmt numFmtId="0" formatCode="General"/>
    </ndxf>
  </rcc>
  <rfmt sheetId="4" sqref="G117" start="0" length="0">
    <dxf>
      <font>
        <color rgb="FFFF0000"/>
      </font>
    </dxf>
  </rfmt>
  <rfmt sheetId="4" sqref="F117:G117" start="0" length="2147483647">
    <dxf>
      <font>
        <color auto="1"/>
      </font>
    </dxf>
  </rfmt>
  <rcc rId="624" sId="6" odxf="1" s="1" dxf="1">
    <oc r="E1956" t="inlineStr">
      <is>
        <t xml:space="preserve">A.III.b.1 </t>
      </is>
    </oc>
    <nc r="E1956" t="inlineStr">
      <is>
        <t xml:space="preserve">A.III.a.1 </t>
      </is>
    </nc>
    <odxf>
      <font>
        <b val="0"/>
        <i val="0"/>
        <strike val="0"/>
        <condense val="0"/>
        <extend val="0"/>
        <outline val="0"/>
        <shadow val="0"/>
        <u val="none"/>
        <vertAlign val="baseline"/>
        <sz val="11"/>
        <color auto="1"/>
        <name val="Calibri"/>
        <scheme val="minor"/>
      </font>
      <numFmt numFmtId="168" formatCode="mm/dd/yy"/>
      <fill>
        <patternFill patternType="none">
          <fgColor indexed="64"/>
          <bgColor indexed="65"/>
        </patternFill>
      </fill>
      <alignment horizontal="center" vertical="top" textRotation="0" wrapText="0" indent="0" relativeIndent="0" justifyLastLine="0" shrinkToFit="0" mergeCell="0" readingOrder="0"/>
      <border diagonalUp="0" diagonalDown="0" outline="0">
        <left/>
        <right/>
        <top/>
        <bottom/>
      </border>
      <protection locked="1" hidden="0"/>
    </odxf>
    <ndxf>
      <font>
        <sz val="11"/>
        <color rgb="FFFF0000"/>
        <name val="Calibri"/>
        <scheme val="minor"/>
      </font>
      <alignment wrapText="1" readingOrder="0"/>
    </ndxf>
  </rcc>
  <rcc rId="625" sId="6" odxf="1" dxf="1">
    <oc r="F1956" t="inlineStr">
      <is>
        <t xml:space="preserve"> Philippine General Hospital</t>
      </is>
    </oc>
    <nc r="F1956" t="inlineStr">
      <is>
        <t>Higher Education Services</t>
      </is>
    </nc>
    <odxf>
      <font>
        <sz val="11"/>
        <name val="Calibri"/>
        <scheme val="minor"/>
      </font>
      <alignment horizontal="general" indent="0" relativeIndent="0" readingOrder="0"/>
    </odxf>
    <ndxf>
      <font>
        <sz val="11"/>
        <color rgb="FFFF0000"/>
        <name val="Calibri"/>
        <scheme val="minor"/>
      </font>
      <alignment horizontal="left" indent="1" relativeIndent="0" readingOrder="0"/>
    </ndxf>
  </rcc>
  <rfmt sheetId="6" sqref="E1956:F1956" start="0" length="2147483647">
    <dxf>
      <font>
        <color auto="1"/>
      </font>
    </dxf>
  </rfmt>
  <rfmt sheetId="4" s="1" sqref="F507" start="0" length="0">
    <dxf>
      <numFmt numFmtId="164" formatCode="_(* #,##0_);_(* \(#,##0\);_(* &quot;-&quot;??_);_(@_)"/>
      <fill>
        <patternFill patternType="solid">
          <bgColor theme="0" tint="-0.14999847407452621"/>
        </patternFill>
      </fill>
    </dxf>
  </rfmt>
  <rfmt sheetId="4" s="1" sqref="G507" start="0" length="0">
    <dxf>
      <fill>
        <patternFill patternType="solid">
          <bgColor theme="0" tint="-0.14999847407452621"/>
        </patternFill>
      </fill>
      <alignment wrapText="0" readingOrder="0"/>
    </dxf>
  </rfmt>
  <rfmt sheetId="4" s="1" sqref="F508" start="0" length="0">
    <dxf>
      <numFmt numFmtId="164" formatCode="_(* #,##0_);_(* \(#,##0\);_(* &quot;-&quot;??_);_(@_)"/>
      <fill>
        <patternFill patternType="solid">
          <bgColor theme="0" tint="-0.14999847407452621"/>
        </patternFill>
      </fill>
    </dxf>
  </rfmt>
  <rfmt sheetId="4" s="1" sqref="G508" start="0" length="0">
    <dxf>
      <fill>
        <patternFill patternType="solid">
          <bgColor theme="0" tint="-0.14999847407452621"/>
        </patternFill>
      </fill>
      <alignment wrapText="0" readingOrder="0"/>
    </dxf>
  </rfmt>
  <rfmt sheetId="4" s="1" sqref="F507" start="0" length="0">
    <dxf>
      <numFmt numFmtId="165" formatCode="[$-3409]dd\-mmm\-yy;@"/>
      <fill>
        <patternFill patternType="none">
          <bgColor indexed="65"/>
        </patternFill>
      </fill>
    </dxf>
  </rfmt>
  <rfmt sheetId="4" s="1" sqref="F508" start="0" length="0">
    <dxf>
      <numFmt numFmtId="165" formatCode="[$-3409]dd\-mmm\-yy;@"/>
      <fill>
        <patternFill patternType="none">
          <bgColor indexed="65"/>
        </patternFill>
      </fill>
    </dxf>
  </rfmt>
  <rcc rId="626" sId="4">
    <oc r="F507" t="inlineStr">
      <is>
        <t>B.I.h</t>
      </is>
    </oc>
    <nc r="F507" t="inlineStr">
      <is>
        <t xml:space="preserve">B.I.h </t>
      </is>
    </nc>
  </rcc>
  <rcc rId="627" sId="4" odxf="1" s="1" dxf="1">
    <oc r="G507" t="inlineStr">
      <is>
        <t>Support to Priority Programs and Projects</t>
      </is>
    </oc>
    <nc r="G507" t="inlineStr">
      <is>
        <t>Various Infrastucture including Local Projects</t>
      </is>
    </nc>
    <ndxf>
      <fill>
        <patternFill patternType="none">
          <bgColor indexed="65"/>
        </patternFill>
      </fill>
      <alignment wrapText="1" readingOrder="0"/>
    </ndxf>
  </rcc>
  <rcc rId="628" sId="4">
    <oc r="F508" t="inlineStr">
      <is>
        <t>B.I.h</t>
      </is>
    </oc>
    <nc r="F508" t="inlineStr">
      <is>
        <t xml:space="preserve">B.I.h </t>
      </is>
    </nc>
  </rcc>
  <rcc rId="629" sId="4" odxf="1" s="1" dxf="1">
    <oc r="G508" t="inlineStr">
      <is>
        <t>Support to Priority Programs and Projects</t>
      </is>
    </oc>
    <nc r="G508" t="inlineStr">
      <is>
        <t>Various Infrastucture including Local Projects</t>
      </is>
    </nc>
    <ndxf>
      <fill>
        <patternFill patternType="none">
          <bgColor indexed="65"/>
        </patternFill>
      </fill>
      <alignment wrapText="1" readingOrder="0"/>
    </ndxf>
  </rcc>
  <rcc rId="630" sId="4" odxf="1" s="1" dxf="1">
    <oc r="F523" t="inlineStr">
      <is>
        <t xml:space="preserve">B.1.h </t>
      </is>
    </oc>
    <nc r="F523"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31" sId="4" odxf="1" dxf="1">
    <oc r="G523" t="inlineStr">
      <is>
        <t>Support to Priority Programs and Projects</t>
      </is>
    </oc>
    <nc r="G523" t="inlineStr">
      <is>
        <t>Various Infrastructure including Local Roads</t>
      </is>
    </nc>
    <odxf>
      <fill>
        <patternFill patternType="none">
          <bgColor indexed="65"/>
        </patternFill>
      </fill>
    </odxf>
    <ndxf>
      <fill>
        <patternFill patternType="solid">
          <bgColor theme="0" tint="-0.14999847407452621"/>
        </patternFill>
      </fill>
    </ndxf>
  </rcc>
  <rfmt sheetId="4" sqref="F523:G523">
    <dxf>
      <fill>
        <patternFill patternType="none">
          <bgColor auto="1"/>
        </patternFill>
      </fill>
    </dxf>
  </rfmt>
  <rcc rId="632" sId="4" odxf="1" s="1" dxf="1">
    <oc r="F527" t="inlineStr">
      <is>
        <t xml:space="preserve">B.1.h </t>
      </is>
    </oc>
    <nc r="F527"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33" sId="4" odxf="1" dxf="1">
    <oc r="G527" t="inlineStr">
      <is>
        <t>Support to Priority Programs and Projects</t>
      </is>
    </oc>
    <nc r="G527" t="inlineStr">
      <is>
        <t>Various Infrastructure including Local Roads</t>
      </is>
    </nc>
    <odxf>
      <fill>
        <patternFill patternType="none">
          <bgColor indexed="65"/>
        </patternFill>
      </fill>
    </odxf>
    <ndxf>
      <fill>
        <patternFill patternType="solid">
          <bgColor theme="0" tint="-0.14999847407452621"/>
        </patternFill>
      </fill>
    </ndxf>
  </rcc>
  <rcc rId="634" sId="4" odxf="1" s="1" dxf="1">
    <oc r="F528" t="inlineStr">
      <is>
        <t xml:space="preserve">B.1.h </t>
      </is>
    </oc>
    <nc r="F528"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35" sId="4" odxf="1" dxf="1">
    <oc r="G528" t="inlineStr">
      <is>
        <t>Support to Priority Programs and Projects</t>
      </is>
    </oc>
    <nc r="G528" t="inlineStr">
      <is>
        <t>Various Infrastructure including Local Roads</t>
      </is>
    </nc>
    <odxf>
      <fill>
        <patternFill patternType="none">
          <bgColor indexed="65"/>
        </patternFill>
      </fill>
    </odxf>
    <ndxf>
      <fill>
        <patternFill patternType="solid">
          <bgColor theme="0" tint="-0.14999847407452621"/>
        </patternFill>
      </fill>
    </ndxf>
  </rcc>
  <rfmt sheetId="4" sqref="F527:G528">
    <dxf>
      <fill>
        <patternFill patternType="none">
          <bgColor auto="1"/>
        </patternFill>
      </fill>
    </dxf>
  </rfmt>
  <rcc rId="636" sId="4" odxf="1" s="1" dxf="1">
    <oc r="F549" t="inlineStr">
      <is>
        <t>B.1.h</t>
      </is>
    </oc>
    <nc r="F549"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37" sId="4" odxf="1" dxf="1">
    <oc r="G549" t="inlineStr">
      <is>
        <t>Support to Priority Programs and Projects</t>
      </is>
    </oc>
    <nc r="G549" t="inlineStr">
      <is>
        <t>Various Infrastructure including Local Roads</t>
      </is>
    </nc>
    <odxf>
      <fill>
        <patternFill patternType="none">
          <bgColor indexed="65"/>
        </patternFill>
      </fill>
    </odxf>
    <ndxf>
      <fill>
        <patternFill patternType="solid">
          <bgColor theme="0" tint="-0.14999847407452621"/>
        </patternFill>
      </fill>
    </ndxf>
  </rcc>
  <rcc rId="638" sId="4" odxf="1" s="1" dxf="1">
    <oc r="F550" t="inlineStr">
      <is>
        <t>B.1.h</t>
      </is>
    </oc>
    <nc r="F550"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39" sId="4" odxf="1" dxf="1">
    <oc r="G550" t="inlineStr">
      <is>
        <t>Support to Priority Programs and Projects</t>
      </is>
    </oc>
    <nc r="G550" t="inlineStr">
      <is>
        <t>Various Infrastructure including Local Roads</t>
      </is>
    </nc>
    <odxf>
      <fill>
        <patternFill patternType="none">
          <bgColor indexed="65"/>
        </patternFill>
      </fill>
    </odxf>
    <ndxf>
      <fill>
        <patternFill patternType="solid">
          <bgColor theme="0" tint="-0.14999847407452621"/>
        </patternFill>
      </fill>
    </ndxf>
  </rcc>
  <rcc rId="640" sId="4" odxf="1" s="1" dxf="1">
    <oc r="F551" t="inlineStr">
      <is>
        <t>B.1.h</t>
      </is>
    </oc>
    <nc r="F551"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41" sId="4" odxf="1" dxf="1">
    <oc r="G551" t="inlineStr">
      <is>
        <t>Support to Priority Programs and Projects</t>
      </is>
    </oc>
    <nc r="G551" t="inlineStr">
      <is>
        <t>Various Infrastructure including Local Roads</t>
      </is>
    </nc>
    <odxf>
      <fill>
        <patternFill patternType="none">
          <bgColor indexed="65"/>
        </patternFill>
      </fill>
    </odxf>
    <ndxf>
      <fill>
        <patternFill patternType="solid">
          <bgColor theme="0" tint="-0.14999847407452621"/>
        </patternFill>
      </fill>
    </ndxf>
  </rcc>
  <rcc rId="642" sId="4" odxf="1" s="1" dxf="1">
    <oc r="F552" t="inlineStr">
      <is>
        <t>B.1.h</t>
      </is>
    </oc>
    <nc r="F552"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43" sId="4" odxf="1" dxf="1">
    <oc r="G552" t="inlineStr">
      <is>
        <t>Support to Priority Programs and Projects</t>
      </is>
    </oc>
    <nc r="G552" t="inlineStr">
      <is>
        <t>Various Infrastructure including Local Roads</t>
      </is>
    </nc>
    <odxf>
      <fill>
        <patternFill patternType="none">
          <bgColor indexed="65"/>
        </patternFill>
      </fill>
    </odxf>
    <ndxf>
      <fill>
        <patternFill patternType="solid">
          <bgColor theme="0" tint="-0.14999847407452621"/>
        </patternFill>
      </fill>
    </ndxf>
  </rcc>
  <rcc rId="644" sId="4" odxf="1" s="1" dxf="1">
    <oc r="F553" t="inlineStr">
      <is>
        <t>B.1.h</t>
      </is>
    </oc>
    <nc r="F553" t="inlineStr">
      <is>
        <t xml:space="preserve">B.I.h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0" indent="0" relativeIndent="0" justifyLastLine="0" shrinkToFit="0" mergeCell="0" readingOrder="0"/>
    </odxf>
    <ndxf>
      <numFmt numFmtId="164" formatCode="_(* #,##0_);_(* \(#,##0\);_(* &quot;-&quot;??_);_(@_)"/>
      <fill>
        <patternFill patternType="solid">
          <bgColor theme="0" tint="-0.14999847407452621"/>
        </patternFill>
      </fill>
      <alignment wrapText="1" readingOrder="0"/>
    </ndxf>
  </rcc>
  <rcc rId="645" sId="4" odxf="1" dxf="1">
    <oc r="G553" t="inlineStr">
      <is>
        <t>Support to Priority Programs and Projects</t>
      </is>
    </oc>
    <nc r="G553" t="inlineStr">
      <is>
        <t>Various Infrastructure including Local Roads</t>
      </is>
    </nc>
    <odxf>
      <fill>
        <patternFill patternType="none">
          <bgColor indexed="65"/>
        </patternFill>
      </fill>
    </odxf>
    <ndxf>
      <fill>
        <patternFill patternType="solid">
          <bgColor theme="0" tint="-0.14999847407452621"/>
        </patternFill>
      </fill>
    </ndxf>
  </rcc>
  <rfmt sheetId="4" sqref="F549:G553">
    <dxf>
      <fill>
        <patternFill patternType="none">
          <bgColor auto="1"/>
        </patternFill>
      </fill>
    </dxf>
  </rfmt>
  <rfmt sheetId="4" s="1" sqref="F565" start="0" length="0">
    <dxf>
      <numFmt numFmtId="164" formatCode="_(* #,##0_);_(* \(#,##0\);_(* &quot;-&quot;??_);_(@_)"/>
      <fill>
        <patternFill patternType="solid">
          <bgColor theme="0" tint="-0.14999847407452621"/>
        </patternFill>
      </fill>
      <alignment wrapText="1" readingOrder="0"/>
    </dxf>
  </rfmt>
  <rcc rId="646" sId="4" odxf="1" dxf="1">
    <oc r="G565" t="inlineStr">
      <is>
        <t>Buildings-Other Structures (Multi-Purpose Bldgs.)</t>
      </is>
    </oc>
    <nc r="G565" t="inlineStr">
      <is>
        <t>Various Infrastructure including Local Roads</t>
      </is>
    </nc>
    <odxf>
      <fill>
        <patternFill patternType="none">
          <bgColor indexed="65"/>
        </patternFill>
      </fill>
    </odxf>
    <ndxf>
      <fill>
        <patternFill patternType="solid">
          <bgColor theme="0" tint="-0.14999847407452621"/>
        </patternFill>
      </fill>
    </ndxf>
  </rcc>
  <rfmt sheetId="4" sqref="F565:G565">
    <dxf>
      <fill>
        <patternFill patternType="none">
          <bgColor auto="1"/>
        </patternFill>
      </fill>
    </dxf>
  </rfmt>
  <rfmt sheetId="5" sqref="E104" start="0" length="0">
    <dxf>
      <fill>
        <patternFill patternType="solid">
          <bgColor theme="0" tint="-0.14999847407452621"/>
        </patternFill>
      </fill>
      <alignment horizontal="general" readingOrder="0"/>
    </dxf>
  </rfmt>
  <rcc rId="647" sId="5" odxf="1" dxf="1">
    <oc r="F104" t="inlineStr">
      <is>
        <t>Develepment, Integration &amp; Coordination of the National Research System for Industry, Energy &amp; Emerging Technology and Related Fields</t>
      </is>
    </oc>
    <nc r="F104" t="inlineStr">
      <is>
        <t>Research and Management Services</t>
      </is>
    </nc>
    <odxf>
      <fill>
        <patternFill patternType="none">
          <bgColor indexed="65"/>
        </patternFill>
      </fill>
      <alignment horizontal="left" readingOrder="0"/>
    </odxf>
    <ndxf>
      <fill>
        <patternFill patternType="solid">
          <bgColor theme="0" tint="-0.14999847407452621"/>
        </patternFill>
      </fill>
      <alignment horizontal="general" readingOrder="0"/>
    </ndxf>
  </rcc>
  <rfmt sheetId="5" sqref="E104:F104">
    <dxf>
      <fill>
        <patternFill patternType="none">
          <bgColor auto="1"/>
        </patternFill>
      </fill>
    </dxf>
  </rfmt>
  <rfmt sheetId="5" sqref="E104">
    <dxf>
      <alignment horizontal="center" readingOrder="0"/>
    </dxf>
  </rfmt>
  <rcc rId="648" sId="4" odxf="1" s="1" dxf="1">
    <oc r="F614" t="inlineStr">
      <is>
        <t>A.II.c.3.c</t>
      </is>
    </oc>
    <nc r="F614" t="inlineStr">
      <is>
        <t xml:space="preserve">A.II.c.3.c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1" indent="0" relativeIndent="0" justifyLastLine="0" shrinkToFit="0" mergeCell="0" readingOrder="0"/>
      <border diagonalUp="0" diagonalDown="0" outline="0">
        <left/>
        <right/>
        <top/>
        <bottom/>
      </border>
      <protection locked="1" hidden="0"/>
    </odxf>
    <ndxf>
      <numFmt numFmtId="0" formatCode="General"/>
      <fill>
        <patternFill patternType="solid">
          <bgColor theme="0" tint="-0.14999847407452621"/>
        </patternFill>
      </fill>
    </ndxf>
  </rcc>
  <rcc rId="649" sId="4" odxf="1" s="1" dxf="1">
    <oc r="G614" t="inlineStr">
      <is>
        <t xml:space="preserve"> Protective Services for individuals and families in especially difficult circumstances including P10,000,000 assistance to victims of involuntary disappearance and members of their families upon coordination with the Families of involuntary Disappearance (FIND)</t>
      </is>
    </oc>
    <nc r="G614" t="inlineStr">
      <is>
        <t xml:space="preserve"> Protective Services for individuals and families in especially difficult circumstances including P100,000 assistance to victims of involuntary disappearance and members of their families upon coordination with the Families of involuntary Disappearance (FIND)</t>
      </is>
    </nc>
    <o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relativeIndent="0" justifyLastLine="0" shrinkToFit="0" mergeCell="0" readingOrder="0"/>
      <border diagonalUp="0" diagonalDown="0" outline="0">
        <left/>
        <right/>
        <top/>
        <bottom/>
      </border>
    </odxf>
    <ndxf>
      <numFmt numFmtId="171" formatCode="&quot;$&quot;#,##0.00"/>
      <fill>
        <patternFill patternType="solid">
          <bgColor theme="0" tint="-0.14999847407452621"/>
        </patternFill>
      </fill>
    </ndxf>
  </rcc>
  <rfmt sheetId="4" sqref="F614:G614">
    <dxf>
      <fill>
        <patternFill patternType="none">
          <bgColor auto="1"/>
        </patternFill>
      </fill>
    </dxf>
  </rfmt>
  <rcc rId="650" sId="3" odxf="1" s="1" dxf="1">
    <oc r="F18" t="inlineStr">
      <is>
        <t xml:space="preserve">A.III.c.2.a </t>
      </is>
    </oc>
    <nc r="F18" t="inlineStr">
      <is>
        <t>A.III.c.2.a 
A.III.c.2.a.6</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1" indent="0" relativeIndent="0" justifyLastLine="0" shrinkToFit="0" mergeCell="0" readingOrder="0"/>
    </odxf>
    <ndxf>
      <font>
        <sz val="11"/>
        <color rgb="FFFF0000"/>
        <name val="Calibri"/>
        <scheme val="none"/>
      </font>
      <numFmt numFmtId="0" formatCode="General"/>
    </ndxf>
  </rcc>
  <rcc rId="651" sId="3" odxf="1" dxf="1">
    <oc r="G18" t="inlineStr">
      <is>
        <t>Operational and Maintenance of Regional Offices</t>
      </is>
    </oc>
    <nc r="G18" t="inlineStr">
      <is>
        <t>Operation and Maintenance of Regional Offices
Region IV</t>
      </is>
    </nc>
    <odxf>
      <font>
        <sz val="11"/>
        <name val="Calibri"/>
        <scheme val="none"/>
      </font>
      <alignment horizontal="general" readingOrder="0"/>
    </odxf>
    <ndxf>
      <font>
        <sz val="11"/>
        <color rgb="FFFF0000"/>
        <name val="Calibri"/>
        <scheme val="none"/>
      </font>
      <alignment horizontal="left" readingOrder="0"/>
    </ndxf>
  </rcc>
  <rfmt sheetId="3" sqref="F18:G18" start="0" length="2147483647">
    <dxf>
      <font>
        <color auto="1"/>
      </font>
    </dxf>
  </rfmt>
  <rcc rId="652" sId="4" odxf="1" dxf="1">
    <oc r="F16" t="inlineStr">
      <is>
        <t xml:space="preserve">A.III.c </t>
      </is>
    </oc>
    <nc r="F16" t="inlineStr">
      <is>
        <t>A.III.c.1</t>
      </is>
    </nc>
    <odxf>
      <font>
        <sz val="11"/>
        <name val="Calibri"/>
        <scheme val="none"/>
      </font>
      <numFmt numFmtId="165" formatCode="[$-3409]dd\-mmm\-yy;@"/>
      <alignment wrapText="0" readingOrder="0"/>
    </odxf>
    <ndxf>
      <font>
        <sz val="11"/>
        <color rgb="FFFF0000"/>
        <name val="Calibri"/>
        <scheme val="none"/>
      </font>
      <numFmt numFmtId="164" formatCode="_(* #,##0_);_(* \(#,##0\);_(* &quot;-&quot;??_);_(@_)"/>
      <alignment wrapText="1" readingOrder="0"/>
    </ndxf>
  </rcc>
  <rcc rId="653" sId="4" odxf="1" dxf="1">
    <oc r="G16" t="inlineStr">
      <is>
        <t>Protection of Philippine Coast</t>
      </is>
    </oc>
    <nc r="G16" t="inlineStr">
      <is>
        <t>Promotion of safety of life &amp; property at sea including safeguarding the marine environment &amp; resources &amp; enforcement of all applicable maritime laws</t>
      </is>
    </nc>
    <odxf>
      <font>
        <sz val="11"/>
        <name val="Calibri"/>
        <scheme val="none"/>
      </font>
    </odxf>
    <ndxf>
      <font>
        <sz val="11"/>
        <color rgb="FFFF0000"/>
        <name val="Calibri"/>
        <scheme val="none"/>
      </font>
    </ndxf>
  </rcc>
  <rfmt sheetId="4" sqref="F16:G16" start="0" length="2147483647">
    <dxf>
      <font>
        <color auto="1"/>
      </font>
    </dxf>
  </rfmt>
  <rcc rId="654" sId="3" odxf="1" s="1" dxf="1">
    <oc r="F58" t="inlineStr">
      <is>
        <t xml:space="preserve">A.III.c.1 </t>
      </is>
    </oc>
    <nc r="F58" t="inlineStr">
      <is>
        <t xml:space="preserve">A.III.a.1 </t>
      </is>
    </nc>
    <odxf>
      <font>
        <b val="0"/>
        <i val="0"/>
        <strike val="0"/>
        <condense val="0"/>
        <extend val="0"/>
        <outline val="0"/>
        <shadow val="0"/>
        <u val="none"/>
        <vertAlign val="baseline"/>
        <sz val="11"/>
        <color auto="1"/>
        <name val="Calibri"/>
        <scheme val="none"/>
      </font>
      <numFmt numFmtId="165" formatCode="[$-3409]dd\-mmm\-yy;@"/>
      <fill>
        <patternFill patternType="none">
          <fgColor indexed="64"/>
          <bgColor indexed="65"/>
        </patternFill>
      </fill>
      <alignment horizontal="center" vertical="top" textRotation="0" wrapText="1" indent="0" relativeIndent="0" justifyLastLine="0" shrinkToFit="0" mergeCell="0" readingOrder="0"/>
    </odxf>
    <ndxf>
      <font>
        <sz val="11"/>
        <color rgb="FFFF0000"/>
        <name val="Calibri"/>
        <scheme val="none"/>
      </font>
      <numFmt numFmtId="164" formatCode="_(* #,##0_);_(* \(#,##0\);_(* &quot;-&quot;??_);_(@_)"/>
    </ndxf>
  </rcc>
  <rfmt sheetId="3" sqref="F58" start="0" length="2147483647">
    <dxf>
      <font>
        <color auto="1"/>
      </font>
    </dxf>
  </rfmt>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2'!$A$1:$U$120</formula>
    <oldFormula>'DAP 2'!$A$1:$U$120</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411.xml><?xml version="1.0" encoding="utf-8"?>
<revisions xmlns="http://schemas.openxmlformats.org/spreadsheetml/2006/main" xmlns:r="http://schemas.openxmlformats.org/officeDocument/2006/relationships">
  <rcc rId="593" sId="2">
    <oc r="E270" t="inlineStr">
      <is>
        <t xml:space="preserve">A.I.a </t>
      </is>
    </oc>
    <nc r="E270" t="inlineStr">
      <is>
        <t>A.I.a</t>
      </is>
    </nc>
  </rcc>
  <rfmt sheetId="2" sqref="F270" start="0" length="0">
    <dxf>
      <font>
        <sz val="11"/>
        <color rgb="FFFF0000"/>
        <name val="Calibri"/>
        <scheme val="none"/>
      </font>
      <alignment vertical="top" readingOrder="0"/>
    </dxf>
  </rfmt>
  <rcc rId="594" sId="2" odxf="1" dxf="1">
    <oc r="F270" t="inlineStr">
      <is>
        <t xml:space="preserve">General Administration and Support </t>
      </is>
    </oc>
    <nc r="F270" t="inlineStr">
      <is>
        <t>General Administration and Support Services/Support to Operations/Operations, including the Requirements for the GRP-MILF Activities amounting to P100,000,000</t>
      </is>
    </nc>
    <ndxf>
      <font>
        <sz val="11"/>
        <color rgb="FFFF0000"/>
        <name val="Calibri"/>
        <scheme val="none"/>
      </font>
    </ndxf>
  </rcc>
  <rfmt sheetId="5" sqref="E41" start="0" length="0">
    <dxf>
      <numFmt numFmtId="165" formatCode="[$-3409]dd\-mmm\-yy;@"/>
    </dxf>
  </rfmt>
  <rfmt sheetId="5" sqref="F41" start="0" length="0">
    <dxf>
      <font>
        <sz val="11"/>
        <color rgb="FFFF0000"/>
        <name val="Calibri"/>
        <scheme val="none"/>
      </font>
      <alignment horizontal="general" readingOrder="0"/>
    </dxf>
  </rfmt>
  <rcc rId="595" sId="5" odxf="1" dxf="1">
    <oc r="F41" t="inlineStr">
      <is>
        <t>General Administration and Support Services</t>
      </is>
    </oc>
    <nc r="F41" t="inlineStr">
      <is>
        <t>General Management and Supervision, including P100,000,000 for confidential and intelligence expenses to be released upon approval of the President</t>
      </is>
    </nc>
    <ndxf>
      <font>
        <sz val="11"/>
        <color rgb="FFFF0000"/>
        <name val="Calibri"/>
        <scheme val="none"/>
      </font>
      <alignment horizontal="left" readingOrder="0"/>
    </ndxf>
  </rcc>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2'!$A$1:$U$120</formula>
    <oldFormula>'DAP 2'!$A$1:$U$120</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4111.xml><?xml version="1.0" encoding="utf-8"?>
<revisions xmlns="http://schemas.openxmlformats.org/spreadsheetml/2006/main" xmlns:r="http://schemas.openxmlformats.org/officeDocument/2006/relationships">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'DAP5'!$A$1:$U$305</formula>
    <oldFormula>'DAP5'!$A$1:$U$305</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3'!$A$1:$V$1717</formula>
    <oldFormula>'DAP 3'!$A$1:$V$1717</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2'!$A$1:$U$120</formula>
    <oldFormula>'DAP 2'!$A$1:$U$120</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'DAP1'!$A$1:$W$2888</formula>
    <oldFormula>'DAP1'!$A$1:$W$2888</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'DAP1'!$196:$214,'DAP1'!$421:$421,'DAP1'!$2745:$2745</formula>
    <oldFormula>'DAP1'!$196:$214,'DAP1'!$421:$421,'DAP1'!$2745:$2745</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41111.xml><?xml version="1.0" encoding="utf-8"?>
<revisions xmlns="http://schemas.openxmlformats.org/spreadsheetml/2006/main" xmlns:r="http://schemas.openxmlformats.org/officeDocument/2006/relationships">
  <rcv guid="{5032F846-223D-4C05-81F5-66ECC60A941D}" action="delete"/>
  <rdn rId="0" localSheetId="1" customView="1" name="Z_5032F846_223D_4C05_81F5_66ECC60A941D_.wvu.PrintArea" hidden="1" oldHidden="1">
    <formula>'DAP 6'!$B$1:$V$88</formula>
    <oldFormula>'DAP 6'!$B$1:$V$88</oldFormula>
  </rdn>
  <rdn rId="0" localSheetId="1" customView="1" name="Z_5032F846_223D_4C05_81F5_66ECC60A941D_.wvu.PrintTitles" hidden="1" oldHidden="1">
    <formula>'DAP 6'!$1:$5</formula>
    <oldFormula>'DAP 6'!$1:$5</oldFormula>
  </rdn>
  <rdn rId="0" localSheetId="1" customView="1" name="Z_5032F846_223D_4C05_81F5_66ECC60A941D_.wvu.Cols" hidden="1" oldHidden="1">
    <formula>'DAP 6'!$C:$C,'DAP 6'!$H:$I,'DAP 6'!$K:$M,'DAP 6'!$O:$O,'DAP 6'!$U:$U,'DAP 6'!$IJ:$IP</formula>
    <oldFormula>'DAP 6'!$C:$C,'DAP 6'!$H:$I,'DAP 6'!$K:$M,'DAP 6'!$O:$O,'DAP 6'!$U:$U,'DAP 6'!$IJ:$IP</oldFormula>
  </rdn>
  <rdn rId="0" localSheetId="2" customView="1" name="Z_5032F846_223D_4C05_81F5_66ECC60A941D_.wvu.PrintArea" hidden="1" oldHidden="1">
    <formula>'DAP5'!$B$1:$U$305</formula>
    <oldFormula>'DAP5'!$B$1:$U$305</oldFormula>
  </rdn>
  <rdn rId="0" localSheetId="2" customView="1" name="Z_5032F846_223D_4C05_81F5_66ECC60A941D_.wvu.PrintTitles" hidden="1" oldHidden="1">
    <formula>'DAP5'!$1:$5</formula>
    <oldFormula>'DAP5'!$1:$5</oldFormula>
  </rdn>
  <rdn rId="0" localSheetId="2" customView="1" name="Z_5032F846_223D_4C05_81F5_66ECC60A941D_.wvu.Cols" hidden="1" oldHidden="1">
    <formula>'DAP5'!$G:$H,'DAP5'!$J:$L,'DAP5'!$N:$N,'DAP5'!$T:$T,'DAP5'!$II:$IO</formula>
    <oldFormula>'DAP5'!$G:$H,'DAP5'!$J:$L,'DAP5'!$N:$N,'DAP5'!$T:$T,'DAP5'!$II:$IO</oldFormula>
  </rdn>
  <rdn rId="0" localSheetId="3" customView="1" name="Z_5032F846_223D_4C05_81F5_66ECC60A941D_.wvu.PrintArea" hidden="1" oldHidden="1">
    <formula>'DAP4'!$B$1:$V$69</formula>
    <oldFormula>'DAP4'!$B$1:$V$69</oldFormula>
  </rdn>
  <rdn rId="0" localSheetId="3" customView="1" name="Z_5032F846_223D_4C05_81F5_66ECC60A941D_.wvu.PrintTitles" hidden="1" oldHidden="1">
    <formula>'DAP4'!$1:$5</formula>
    <oldFormula>'DAP4'!$1:$5</oldFormula>
  </rdn>
  <rdn rId="0" localSheetId="3" customView="1" name="Z_5032F846_223D_4C05_81F5_66ECC60A941D_.wvu.Rows" hidden="1" oldHidden="1">
    <formula>'DAP4'!$39:$40,'DAP4'!$59:$66</formula>
    <oldFormula>'DAP4'!$39:$40,'DAP4'!$59:$66</oldFormula>
  </rdn>
  <rdn rId="0" localSheetId="3" customView="1" name="Z_5032F846_223D_4C05_81F5_66ECC60A941D_.wvu.Cols" hidden="1" oldHidden="1">
    <formula>'DAP4'!$C:$C,'DAP4'!$H:$I,'DAP4'!$K:$M,'DAP4'!$O:$O,'DAP4'!$U:$U,'DAP4'!$W:$X</formula>
    <oldFormula>'DAP4'!$C:$C,'DAP4'!$H:$I,'DAP4'!$K:$M,'DAP4'!$O:$O,'DAP4'!$U:$U,'DAP4'!$W:$X</oldFormula>
  </rdn>
  <rdn rId="0" localSheetId="4" customView="1" name="Z_5032F846_223D_4C05_81F5_66ECC60A941D_.wvu.PrintArea" hidden="1" oldHidden="1">
    <formula>'DAP 3'!$B$1:$V$1717</formula>
    <oldFormula>'DAP 3'!$B$1:$V$1717</oldFormula>
  </rdn>
  <rdn rId="0" localSheetId="4" customView="1" name="Z_5032F846_223D_4C05_81F5_66ECC60A941D_.wvu.PrintTitles" hidden="1" oldHidden="1">
    <formula>'DAP 3'!$1:$5</formula>
    <oldFormula>'DAP 3'!$1:$5</oldFormula>
  </rdn>
  <rdn rId="0" localSheetId="4" customView="1" name="Z_5032F846_223D_4C05_81F5_66ECC60A941D_.wvu.Cols" hidden="1" oldHidden="1">
    <formula>'DAP 3'!$C:$C,'DAP 3'!$H:$I,'DAP 3'!$K:$M,'DAP 3'!$O:$O,'DAP 3'!$U:$U</formula>
    <oldFormula>'DAP 3'!$C:$C,'DAP 3'!$H:$I,'DAP 3'!$K:$M,'DAP 3'!$O:$O,'DAP 3'!$U:$U</oldFormula>
  </rdn>
  <rdn rId="0" localSheetId="5" customView="1" name="Z_5032F846_223D_4C05_81F5_66ECC60A941D_.wvu.PrintArea" hidden="1" oldHidden="1">
    <formula>'DAP 2'!$A$1:$U$120</formula>
    <oldFormula>'DAP 2'!$A$1:$U$120</oldFormula>
  </rdn>
  <rdn rId="0" localSheetId="5" customView="1" name="Z_5032F846_223D_4C05_81F5_66ECC60A941D_.wvu.PrintTitles" hidden="1" oldHidden="1">
    <formula>'DAP 2'!$1:$5</formula>
    <oldFormula>'DAP 2'!$1:$5</oldFormula>
  </rdn>
  <rdn rId="0" localSheetId="5" customView="1" name="Z_5032F846_223D_4C05_81F5_66ECC60A941D_.wvu.Cols" hidden="1" oldHidden="1">
    <formula>'DAP 2'!$G:$H,'DAP 2'!$J:$L,'DAP 2'!$N:$N,'DAP 2'!$T:$T</formula>
    <oldFormula>'DAP 2'!$G:$H,'DAP 2'!$J:$L,'DAP 2'!$N:$N,'DAP 2'!$T:$T</oldFormula>
  </rdn>
  <rdn rId="0" localSheetId="6" customView="1" name="Z_5032F846_223D_4C05_81F5_66ECC60A941D_.wvu.PrintArea" hidden="1" oldHidden="1">
    <formula>'DAP1'!$A$1:$W$2888</formula>
    <oldFormula>'DAP1'!$A$1:$W$2888</oldFormula>
  </rdn>
  <rdn rId="0" localSheetId="6" customView="1" name="Z_5032F846_223D_4C05_81F5_66ECC60A941D_.wvu.PrintTitles" hidden="1" oldHidden="1">
    <formula>'DAP1'!$1:$5</formula>
    <oldFormula>'DAP1'!$1:$5</oldFormula>
  </rdn>
  <rdn rId="0" localSheetId="6" customView="1" name="Z_5032F846_223D_4C05_81F5_66ECC60A941D_.wvu.Rows" hidden="1" oldHidden="1">
    <formula>'DAP1'!$196:$214,'DAP1'!$421:$421,'DAP1'!$2145:$2151,'DAP1'!$2745:$2745</formula>
    <oldFormula>'DAP1'!$196:$214,'DAP1'!$421:$421,'DAP1'!$2145:$2151,'DAP1'!$2745:$2745</oldFormula>
  </rdn>
  <rdn rId="0" localSheetId="6" customView="1" name="Z_5032F846_223D_4C05_81F5_66ECC60A941D_.wvu.Cols" hidden="1" oldHidden="1">
    <formula>'DAP1'!$J:$L,'DAP1'!$N:$N,'DAP1'!$V:$V,'DAP1'!$X:$Y</formula>
    <oldFormula>'DAP1'!$J:$L,'DAP1'!$N:$N,'DAP1'!$V:$V,'DAP1'!$X:$Y</oldFormula>
  </rdn>
  <rcv guid="{5032F846-223D-4C05-81F5-66ECC60A941D}" action="add"/>
</revisions>
</file>

<file path=xl/revisions/revisionLog15.xml><?xml version="1.0" encoding="utf-8"?>
<revisions xmlns="http://schemas.openxmlformats.org/spreadsheetml/2006/main" xmlns:r="http://schemas.openxmlformats.org/officeDocument/2006/relationships">
  <rfmt sheetId="6" sqref="E118" start="0" length="2147483647">
    <dxf>
      <font>
        <color auto="1"/>
      </font>
    </dxf>
  </rfmt>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'DAP5'!$A$1:$U$305</formula>
    <oldFormula>'DAP5'!$A$1:$U$305</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3'!$A$1:$V$1717</formula>
    <oldFormula>'DAP 3'!$A$1:$V$1717</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2'!$A$1:$U$120</formula>
    <oldFormula>'DAP 2'!$A$1:$U$120</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'DAP1'!$A$1:$W$2888</formula>
    <oldFormula>'DAP1'!$A$1:$W$2888</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'DAP1'!$196:$214,'DAP1'!$421:$421,'DAP1'!$2745:$2745</formula>
    <oldFormula>'DAP1'!$196:$214,'DAP1'!$421:$421,'DAP1'!$2745:$2745</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51.xml><?xml version="1.0" encoding="utf-8"?>
<revisions xmlns="http://schemas.openxmlformats.org/spreadsheetml/2006/main" xmlns:r="http://schemas.openxmlformats.org/officeDocument/2006/relationships">
  <rfmt sheetId="6" sqref="E118:F118" start="0" length="2147483647">
    <dxf>
      <font>
        <color auto="1"/>
      </font>
    </dxf>
  </rfmt>
  <rfmt sheetId="6" sqref="E118" start="0" length="0">
    <dxf>
      <font>
        <sz val="11"/>
        <color rgb="FFFF0000"/>
        <name val="Calibri"/>
        <scheme val="none"/>
      </font>
      <fill>
        <patternFill patternType="solid">
          <bgColor theme="0" tint="-0.14999847407452621"/>
        </patternFill>
      </fill>
    </dxf>
  </rfmt>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'DAP5'!$A$1:$U$305</formula>
    <oldFormula>'DAP5'!$A$1:$U$305</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3'!$A$1:$V$1717</formula>
    <oldFormula>'DAP 3'!$A$1:$V$1717</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2'!$A$1:$U$120</formula>
    <oldFormula>'DAP 2'!$A$1:$U$120</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'DAP1'!$A$1:$W$2888</formula>
    <oldFormula>'DAP1'!$A$1:$W$2888</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'DAP1'!$196:$214,'DAP1'!$421:$421,'DAP1'!$2745:$2745</formula>
    <oldFormula>'DAP1'!$196:$214,'DAP1'!$421:$421,'DAP1'!$2745:$2745</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6.xml><?xml version="1.0" encoding="utf-8"?>
<revisions xmlns="http://schemas.openxmlformats.org/spreadsheetml/2006/main" xmlns:r="http://schemas.openxmlformats.org/officeDocument/2006/relationships">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'DAP5'!$A$1:$U$305</formula>
    <oldFormula>'DAP5'!$A$1:$U$305</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3'!$A$1:$V$1717</formula>
    <oldFormula>'DAP 3'!$A$1:$V$1717</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2'!$A$1:$U$120</formula>
    <oldFormula>'DAP 2'!$A$1:$U$120</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'DAP1'!$A$1:$W$2888</formula>
    <oldFormula>'DAP1'!$A$1:$W$2888</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'DAP1'!$196:$214,'DAP1'!$421:$421,'DAP1'!$2745:$2745</formula>
    <oldFormula>'DAP1'!$196:$214,'DAP1'!$421:$421,'DAP1'!$2745:$2745</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revisionLog161.xml><?xml version="1.0" encoding="utf-8"?>
<revisions xmlns="http://schemas.openxmlformats.org/spreadsheetml/2006/main" xmlns:r="http://schemas.openxmlformats.org/officeDocument/2006/relationships">
  <rfmt sheetId="6" sqref="E81:F81" start="0" length="2147483647">
    <dxf>
      <font>
        <color auto="1"/>
      </font>
    </dxf>
  </rfmt>
  <rfmt sheetId="6" sqref="B337:F337" start="0" length="2147483647">
    <dxf>
      <font>
        <color auto="1"/>
      </font>
    </dxf>
  </rfmt>
  <rfmt sheetId="6" sqref="A1:XFD1048576" start="0" length="2147483647">
    <dxf>
      <font>
        <color auto="1"/>
      </font>
    </dxf>
  </rfmt>
  <rfmt sheetId="5" sqref="A1:XFD1048576" start="0" length="2147483647">
    <dxf>
      <font>
        <color auto="1"/>
      </font>
    </dxf>
  </rfmt>
  <rfmt sheetId="4" sqref="A1:XFD1048576" start="0" length="2147483647">
    <dxf>
      <font>
        <color auto="1"/>
      </font>
    </dxf>
  </rfmt>
  <rfmt sheetId="3" sqref="A1:XFD1048576" start="0" length="2147483647">
    <dxf>
      <font>
        <color auto="1"/>
      </font>
    </dxf>
  </rfmt>
  <rfmt sheetId="2" sqref="A1:XFD1048576" start="0" length="2147483647">
    <dxf>
      <font>
        <color auto="1"/>
      </font>
    </dxf>
  </rfmt>
  <rfmt sheetId="1" sqref="A1:XFD1048576" start="0" length="2147483647">
    <dxf>
      <font>
        <color auto="1"/>
      </font>
    </dxf>
  </rfmt>
  <rcv guid="{0D143C80-1B42-417D-B6C0-C88521CF36C7}" action="delete"/>
  <rdn rId="0" localSheetId="1" customView="1" name="Z_0D143C80_1B42_417D_B6C0_C88521CF36C7_.wvu.PrintArea" hidden="1" oldHidden="1">
    <formula>'DAP 6'!$A$1:$V$88</formula>
    <oldFormula>'DAP 6'!$A$1:$V$88</oldFormula>
  </rdn>
  <rdn rId="0" localSheetId="1" customView="1" name="Z_0D143C80_1B42_417D_B6C0_C88521CF36C7_.wvu.PrintTitles" hidden="1" oldHidden="1">
    <formula>'DAP 6'!$1:$5</formula>
    <oldFormula>'DAP 6'!$1:$5</oldFormula>
  </rdn>
  <rdn rId="0" localSheetId="1" customView="1" name="Z_0D143C80_1B42_417D_B6C0_C88521CF36C7_.wvu.Cols" hidden="1" oldHidden="1">
    <formula>'DAP 6'!$C:$C,'DAP 6'!$H:$I,'DAP 6'!$K:$M,'DAP 6'!$O:$O,'DAP 6'!$U:$U,'DAP 6'!$IJ:$IP</formula>
    <oldFormula>'DAP 6'!$C:$C,'DAP 6'!$H:$I,'DAP 6'!$K:$M,'DAP 6'!$O:$O,'DAP 6'!$U:$U,'DAP 6'!$IJ:$IP</oldFormula>
  </rdn>
  <rdn rId="0" localSheetId="2" customView="1" name="Z_0D143C80_1B42_417D_B6C0_C88521CF36C7_.wvu.PrintArea" hidden="1" oldHidden="1">
    <formula>'DAP5'!$A$1:$U$305</formula>
    <oldFormula>'DAP5'!$A$1:$U$305</oldFormula>
  </rdn>
  <rdn rId="0" localSheetId="2" customView="1" name="Z_0D143C80_1B42_417D_B6C0_C88521CF36C7_.wvu.PrintTitles" hidden="1" oldHidden="1">
    <formula>'DAP5'!$1:$5</formula>
    <oldFormula>'DAP5'!$1:$5</oldFormula>
  </rdn>
  <rdn rId="0" localSheetId="2" customView="1" name="Z_0D143C80_1B42_417D_B6C0_C88521CF36C7_.wvu.Cols" hidden="1" oldHidden="1">
    <formula>'DAP5'!$G:$H,'DAP5'!$J:$L,'DAP5'!$N:$N,'DAP5'!$T:$T,'DAP5'!$II:$IO</formula>
    <oldFormula>'DAP5'!$G:$H,'DAP5'!$J:$L,'DAP5'!$N:$N,'DAP5'!$T:$T,'DAP5'!$II:$IO</oldFormula>
  </rdn>
  <rdn rId="0" localSheetId="3" customView="1" name="Z_0D143C80_1B42_417D_B6C0_C88521CF36C7_.wvu.PrintArea" hidden="1" oldHidden="1">
    <formula>'DAP4'!$A$1:$V$69</formula>
    <oldFormula>'DAP4'!$A$1:$V$69</oldFormula>
  </rdn>
  <rdn rId="0" localSheetId="3" customView="1" name="Z_0D143C80_1B42_417D_B6C0_C88521CF36C7_.wvu.PrintTitles" hidden="1" oldHidden="1">
    <formula>'DAP4'!$1:$5</formula>
    <oldFormula>'DAP4'!$1:$5</oldFormula>
  </rdn>
  <rdn rId="0" localSheetId="3" customView="1" name="Z_0D143C80_1B42_417D_B6C0_C88521CF36C7_.wvu.Cols" hidden="1" oldHidden="1">
    <formula>'DAP4'!$C:$C,'DAP4'!$H:$I,'DAP4'!$K:$M,'DAP4'!$O:$O,'DAP4'!$U:$U,'DAP4'!$W:$X</formula>
    <oldFormula>'DAP4'!$C:$C,'DAP4'!$H:$I,'DAP4'!$K:$M,'DAP4'!$O:$O,'DAP4'!$U:$U,'DAP4'!$W:$X</oldFormula>
  </rdn>
  <rdn rId="0" localSheetId="4" customView="1" name="Z_0D143C80_1B42_417D_B6C0_C88521CF36C7_.wvu.PrintArea" hidden="1" oldHidden="1">
    <formula>'DAP 3'!$A$1:$V$1717</formula>
    <oldFormula>'DAP 3'!$A$1:$V$1717</oldFormula>
  </rdn>
  <rdn rId="0" localSheetId="4" customView="1" name="Z_0D143C80_1B42_417D_B6C0_C88521CF36C7_.wvu.PrintTitles" hidden="1" oldHidden="1">
    <formula>'DAP 3'!$1:$5</formula>
    <oldFormula>'DAP 3'!$1:$5</oldFormula>
  </rdn>
  <rdn rId="0" localSheetId="4" customView="1" name="Z_0D143C80_1B42_417D_B6C0_C88521CF36C7_.wvu.Cols" hidden="1" oldHidden="1">
    <formula>'DAP 3'!$C:$C,'DAP 3'!$H:$I,'DAP 3'!$K:$M,'DAP 3'!$O:$O,'DAP 3'!$U:$U</formula>
    <oldFormula>'DAP 3'!$C:$C,'DAP 3'!$H:$I,'DAP 3'!$K:$M,'DAP 3'!$O:$O,'DAP 3'!$U:$U</oldFormula>
  </rdn>
  <rdn rId="0" localSheetId="5" customView="1" name="Z_0D143C80_1B42_417D_B6C0_C88521CF36C7_.wvu.PrintArea" hidden="1" oldHidden="1">
    <formula>'DAP 2'!$A$1:$U$120</formula>
    <oldFormula>'DAP 2'!$A$1:$U$120</oldFormula>
  </rdn>
  <rdn rId="0" localSheetId="5" customView="1" name="Z_0D143C80_1B42_417D_B6C0_C88521CF36C7_.wvu.PrintTitles" hidden="1" oldHidden="1">
    <formula>'DAP 2'!$1:$5</formula>
    <oldFormula>'DAP 2'!$1:$5</oldFormula>
  </rdn>
  <rdn rId="0" localSheetId="5" customView="1" name="Z_0D143C80_1B42_417D_B6C0_C88521CF36C7_.wvu.Cols" hidden="1" oldHidden="1">
    <formula>'DAP 2'!$G:$H,'DAP 2'!$J:$L,'DAP 2'!$N:$N,'DAP 2'!$T:$T</formula>
    <oldFormula>'DAP 2'!$G:$H,'DAP 2'!$J:$L,'DAP 2'!$N:$N,'DAP 2'!$T:$T</oldFormula>
  </rdn>
  <rdn rId="0" localSheetId="6" customView="1" name="Z_0D143C80_1B42_417D_B6C0_C88521CF36C7_.wvu.PrintArea" hidden="1" oldHidden="1">
    <formula>'DAP1'!$A$1:$W$2888</formula>
    <oldFormula>'DAP1'!$A$1:$W$2888</oldFormula>
  </rdn>
  <rdn rId="0" localSheetId="6" customView="1" name="Z_0D143C80_1B42_417D_B6C0_C88521CF36C7_.wvu.PrintTitles" hidden="1" oldHidden="1">
    <formula>'DAP1'!$1:$5</formula>
    <oldFormula>'DAP1'!$1:$5</oldFormula>
  </rdn>
  <rdn rId="0" localSheetId="6" customView="1" name="Z_0D143C80_1B42_417D_B6C0_C88521CF36C7_.wvu.Rows" hidden="1" oldHidden="1">
    <formula>'DAP1'!$196:$214,'DAP1'!$421:$421,'DAP1'!$2745:$2745</formula>
    <oldFormula>'DAP1'!$196:$214,'DAP1'!$421:$421,'DAP1'!$2745:$2745</oldFormula>
  </rdn>
  <rdn rId="0" localSheetId="6" customView="1" name="Z_0D143C80_1B42_417D_B6C0_C88521CF36C7_.wvu.Cols" hidden="1" oldHidden="1">
    <formula>'DAP1'!$G:$H,'DAP1'!$J:$L,'DAP1'!$N:$N,'DAP1'!$V:$V,'DAP1'!$X:$Y</formula>
    <oldFormula>'DAP1'!$G:$H,'DAP1'!$J:$L,'DAP1'!$N:$N,'DAP1'!$V:$V,'DAP1'!$X:$Y</oldFormula>
  </rdn>
  <rcv guid="{0D143C80-1B42-417D-B6C0-C88521CF36C7}" action="add"/>
</revisions>
</file>

<file path=xl/revisions/userNames.xml><?xml version="1.0" encoding="utf-8"?>
<users xmlns="http://schemas.openxmlformats.org/spreadsheetml/2006/main" xmlns:r="http://schemas.openxmlformats.org/officeDocument/2006/relationships" count="3">
  <userInfo guid="{E11244DF-116B-4A06-9BBC-DC503F21BBCA}" name="mmarasigan" id="-228255611" dateTime="2014-07-21T15:28:15"/>
  <userInfo guid="{F46754BE-0D10-4D59-8819-BC8B5F85F6CE}" name="DBM" id="-845106528" dateTime="2014-07-23T17:00:22"/>
  <userInfo guid="{F46754BE-0D10-4D59-8819-BC8B5F85F6CE}" name="DBM" id="-845125794" dateTime="2014-07-24T08:31:2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2">
    <tabColor rgb="FFFFFF00"/>
  </sheetPr>
  <dimension ref="A1:JG660"/>
  <sheetViews>
    <sheetView view="pageBreakPreview" zoomScaleSheetLayoutView="100" workbookViewId="0">
      <pane xSplit="3" ySplit="5" topLeftCell="D6" activePane="bottomRight" state="frozen"/>
      <selection pane="topRight" activeCell="D1" sqref="D1"/>
      <selection pane="bottomLeft" activeCell="A6" sqref="A6"/>
      <selection pane="bottomRight" activeCell="G60" sqref="G60"/>
    </sheetView>
  </sheetViews>
  <sheetFormatPr defaultColWidth="9.140625" defaultRowHeight="15.95" customHeight="1"/>
  <cols>
    <col min="1" max="1" width="4.85546875" style="39" customWidth="1"/>
    <col min="2" max="2" width="61.28515625" style="22" customWidth="1"/>
    <col min="3" max="3" width="13.28515625" style="22" hidden="1" customWidth="1"/>
    <col min="4" max="4" width="12.42578125" style="23" customWidth="1"/>
    <col min="5" max="5" width="10.28515625" style="380" customWidth="1"/>
    <col min="6" max="6" width="11.140625" style="380" customWidth="1"/>
    <col min="7" max="7" width="32.140625" style="22" customWidth="1"/>
    <col min="8" max="8" width="30.7109375" style="22" hidden="1" customWidth="1"/>
    <col min="9" max="9" width="11.28515625" style="65" hidden="1" customWidth="1"/>
    <col min="10" max="10" width="13.140625" style="65" customWidth="1"/>
    <col min="11" max="13" width="10.85546875" style="22" hidden="1" customWidth="1"/>
    <col min="14" max="14" width="10.85546875" style="22" customWidth="1"/>
    <col min="15" max="15" width="10.42578125" style="22" hidden="1" customWidth="1"/>
    <col min="16" max="17" width="12.28515625" style="23" bestFit="1" customWidth="1"/>
    <col min="18" max="18" width="12.28515625" style="166" customWidth="1"/>
    <col min="19" max="19" width="15.140625" style="166" customWidth="1"/>
    <col min="20" max="20" width="21.140625" style="166" customWidth="1"/>
    <col min="21" max="21" width="11.7109375" style="23" hidden="1" customWidth="1"/>
    <col min="22" max="22" width="17.85546875" style="39" customWidth="1"/>
    <col min="23" max="23" width="15.5703125" style="39" customWidth="1"/>
    <col min="24" max="234" width="15.7109375" style="39"/>
    <col min="235" max="235" width="53.85546875" style="39" customWidth="1"/>
    <col min="236" max="236" width="20.140625" style="39" customWidth="1"/>
    <col min="237" max="237" width="8.140625" style="39" customWidth="1"/>
    <col min="238" max="238" width="11.28515625" style="39" customWidth="1"/>
    <col min="239" max="241" width="11.140625" style="39" customWidth="1"/>
    <col min="242" max="242" width="15.7109375" style="39" customWidth="1"/>
    <col min="243" max="243" width="11.140625" style="39" customWidth="1"/>
    <col min="244" max="250" width="9.140625" style="39" hidden="1" customWidth="1"/>
    <col min="251" max="16384" width="9.140625" style="39"/>
  </cols>
  <sheetData>
    <row r="1" spans="1:22" s="71" customFormat="1" ht="15" customHeight="1">
      <c r="A1" s="119" t="s">
        <v>4524</v>
      </c>
      <c r="B1" s="119"/>
      <c r="C1" s="119"/>
      <c r="D1" s="37"/>
      <c r="E1" s="712"/>
      <c r="F1" s="712"/>
      <c r="G1" s="21"/>
      <c r="H1" s="35"/>
      <c r="I1" s="93"/>
      <c r="J1" s="93"/>
      <c r="K1" s="35"/>
      <c r="L1" s="35"/>
      <c r="M1" s="35"/>
      <c r="N1" s="35"/>
      <c r="O1" s="35"/>
      <c r="P1" s="37"/>
      <c r="Q1" s="37"/>
      <c r="R1" s="37"/>
      <c r="S1" s="37"/>
      <c r="T1" s="37"/>
      <c r="U1" s="37"/>
      <c r="V1" s="40"/>
    </row>
    <row r="2" spans="1:22" s="71" customFormat="1" ht="15" customHeight="1">
      <c r="A2" s="35" t="s">
        <v>0</v>
      </c>
      <c r="B2" s="35"/>
      <c r="C2" s="35"/>
      <c r="D2" s="37"/>
      <c r="E2" s="712"/>
      <c r="F2" s="712"/>
      <c r="G2" s="21"/>
      <c r="H2" s="35"/>
      <c r="I2" s="93"/>
      <c r="J2" s="93"/>
      <c r="K2" s="35"/>
      <c r="L2" s="35"/>
      <c r="M2" s="35"/>
      <c r="N2" s="35"/>
      <c r="O2" s="35"/>
      <c r="P2" s="37"/>
      <c r="Q2" s="37"/>
      <c r="R2" s="37"/>
      <c r="S2" s="37"/>
      <c r="T2" s="37"/>
      <c r="U2" s="37"/>
      <c r="V2" s="40"/>
    </row>
    <row r="3" spans="1:22" s="71" customFormat="1" ht="15" customHeight="1">
      <c r="B3" s="35"/>
      <c r="C3" s="35"/>
      <c r="D3" s="37"/>
      <c r="E3" s="712"/>
      <c r="F3" s="712"/>
      <c r="G3" s="21"/>
      <c r="H3" s="35"/>
      <c r="I3" s="93"/>
      <c r="J3" s="93"/>
      <c r="K3" s="35"/>
      <c r="L3" s="35"/>
      <c r="M3" s="35"/>
      <c r="N3" s="35"/>
      <c r="O3" s="35"/>
      <c r="P3" s="37"/>
      <c r="Q3" s="37"/>
      <c r="R3" s="37"/>
      <c r="S3" s="37"/>
      <c r="T3" s="37"/>
      <c r="U3" s="37"/>
      <c r="V3" s="40"/>
    </row>
    <row r="4" spans="1:22" ht="24.95" customHeight="1">
      <c r="A4" s="1253" t="s">
        <v>4470</v>
      </c>
      <c r="B4" s="1254"/>
      <c r="C4" s="1268" t="s">
        <v>4473</v>
      </c>
      <c r="D4" s="1267" t="s">
        <v>2</v>
      </c>
      <c r="E4" s="1265" t="s">
        <v>3</v>
      </c>
      <c r="F4" s="1272" t="s">
        <v>4556</v>
      </c>
      <c r="G4" s="1273"/>
      <c r="H4" s="1266" t="s">
        <v>114</v>
      </c>
      <c r="I4" s="1258" t="s">
        <v>4</v>
      </c>
      <c r="J4" s="1258" t="s">
        <v>4477</v>
      </c>
      <c r="K4" s="703" t="s">
        <v>145</v>
      </c>
      <c r="L4" s="1263"/>
      <c r="M4" s="1263"/>
      <c r="N4" s="1264" t="s">
        <v>90</v>
      </c>
      <c r="O4" s="1270" t="s">
        <v>5</v>
      </c>
      <c r="P4" s="1258" t="s">
        <v>4475</v>
      </c>
      <c r="Q4" s="1258" t="s">
        <v>91</v>
      </c>
      <c r="R4" s="1260" t="s">
        <v>113</v>
      </c>
      <c r="S4" s="1261"/>
      <c r="T4" s="1262"/>
      <c r="U4" s="1257" t="s">
        <v>115</v>
      </c>
      <c r="V4" s="1257" t="s">
        <v>7</v>
      </c>
    </row>
    <row r="5" spans="1:22" ht="24.95" customHeight="1">
      <c r="A5" s="1255"/>
      <c r="B5" s="1256"/>
      <c r="C5" s="1269"/>
      <c r="D5" s="1267"/>
      <c r="E5" s="1265"/>
      <c r="F5" s="1023" t="s">
        <v>4557</v>
      </c>
      <c r="G5" s="1099" t="s">
        <v>4558</v>
      </c>
      <c r="H5" s="1266"/>
      <c r="I5" s="1259"/>
      <c r="J5" s="1259"/>
      <c r="K5" s="1100" t="s">
        <v>8</v>
      </c>
      <c r="L5" s="1100" t="s">
        <v>9</v>
      </c>
      <c r="M5" s="1100" t="s">
        <v>10</v>
      </c>
      <c r="N5" s="1256"/>
      <c r="O5" s="1271"/>
      <c r="P5" s="1259"/>
      <c r="Q5" s="1259"/>
      <c r="R5" s="1106" t="s">
        <v>2818</v>
      </c>
      <c r="S5" s="1106" t="s">
        <v>148</v>
      </c>
      <c r="T5" s="1106" t="s">
        <v>149</v>
      </c>
      <c r="U5" s="1257"/>
      <c r="V5" s="1257"/>
    </row>
    <row r="6" spans="1:22" s="16" customFormat="1" ht="15">
      <c r="B6" s="54"/>
      <c r="C6" s="54"/>
      <c r="D6" s="1137"/>
      <c r="E6" s="5"/>
      <c r="F6" s="5"/>
      <c r="G6" s="12"/>
      <c r="H6" s="14"/>
      <c r="I6" s="6"/>
      <c r="J6" s="6"/>
      <c r="K6" s="6"/>
      <c r="L6" s="6"/>
      <c r="M6" s="6"/>
      <c r="N6" s="6"/>
      <c r="O6" s="6"/>
      <c r="P6" s="117"/>
      <c r="Q6" s="117"/>
      <c r="R6" s="117"/>
      <c r="S6" s="117"/>
      <c r="T6" s="117"/>
      <c r="U6" s="179"/>
    </row>
    <row r="7" spans="1:22" s="16" customFormat="1" ht="15">
      <c r="B7" s="106" t="s">
        <v>4479</v>
      </c>
      <c r="C7" s="54"/>
      <c r="D7" s="1137"/>
      <c r="E7" s="5"/>
      <c r="F7" s="5"/>
      <c r="G7" s="12"/>
      <c r="H7" s="14"/>
      <c r="I7" s="6"/>
      <c r="J7" s="6"/>
      <c r="K7" s="6"/>
      <c r="L7" s="6"/>
      <c r="M7" s="6"/>
      <c r="N7" s="6"/>
      <c r="O7" s="6"/>
      <c r="P7" s="117"/>
      <c r="Q7" s="117"/>
      <c r="R7" s="117"/>
      <c r="S7" s="117"/>
      <c r="T7" s="117"/>
      <c r="U7" s="179"/>
    </row>
    <row r="8" spans="1:22" s="16" customFormat="1" ht="15">
      <c r="B8" s="54"/>
      <c r="C8" s="54"/>
      <c r="D8" s="1137"/>
      <c r="E8" s="5"/>
      <c r="F8" s="5"/>
      <c r="G8" s="12"/>
      <c r="H8" s="14"/>
      <c r="I8" s="6"/>
      <c r="J8" s="6"/>
      <c r="K8" s="6"/>
      <c r="L8" s="6"/>
      <c r="M8" s="6"/>
      <c r="N8" s="6"/>
      <c r="O8" s="6"/>
      <c r="P8" s="117"/>
      <c r="Q8" s="117"/>
      <c r="R8" s="117"/>
      <c r="S8" s="117"/>
      <c r="T8" s="117"/>
      <c r="U8" s="179"/>
    </row>
    <row r="9" spans="1:22" s="16" customFormat="1" ht="15">
      <c r="A9" s="766" t="s">
        <v>4944</v>
      </c>
      <c r="B9" s="713" t="s">
        <v>4955</v>
      </c>
      <c r="C9" s="713"/>
      <c r="D9" s="1137"/>
      <c r="E9" s="5"/>
      <c r="F9" s="5"/>
      <c r="G9" s="12"/>
      <c r="H9" s="14"/>
      <c r="I9" s="6"/>
      <c r="J9" s="6">
        <v>921295</v>
      </c>
      <c r="K9" s="6"/>
      <c r="L9" s="6"/>
      <c r="M9" s="6"/>
      <c r="N9" s="6"/>
      <c r="O9" s="6"/>
      <c r="P9" s="117"/>
      <c r="Q9" s="117"/>
      <c r="R9" s="117"/>
      <c r="S9" s="117"/>
      <c r="T9" s="117"/>
      <c r="U9" s="179"/>
    </row>
    <row r="10" spans="1:22" s="16" customFormat="1" ht="15">
      <c r="B10" s="4" t="s">
        <v>52</v>
      </c>
      <c r="C10" s="4"/>
      <c r="D10" s="1137"/>
      <c r="E10" s="5"/>
      <c r="F10" s="5"/>
      <c r="G10" s="12"/>
      <c r="H10" s="14"/>
      <c r="I10" s="6"/>
      <c r="J10" s="6"/>
      <c r="K10" s="6"/>
      <c r="L10" s="6"/>
      <c r="M10" s="6"/>
      <c r="N10" s="6"/>
      <c r="O10" s="6"/>
      <c r="P10" s="117"/>
      <c r="Q10" s="117"/>
      <c r="R10" s="117"/>
      <c r="S10" s="117"/>
      <c r="T10" s="117"/>
      <c r="U10" s="179"/>
    </row>
    <row r="11" spans="1:22" s="16" customFormat="1" ht="15">
      <c r="B11" s="54"/>
      <c r="C11" s="54"/>
      <c r="D11" s="1137"/>
      <c r="E11" s="5"/>
      <c r="F11" s="5"/>
      <c r="G11" s="12"/>
      <c r="H11" s="14"/>
      <c r="I11" s="6"/>
      <c r="J11" s="6"/>
      <c r="K11" s="6"/>
      <c r="L11" s="6"/>
      <c r="M11" s="6"/>
      <c r="N11" s="6"/>
      <c r="O11" s="6"/>
      <c r="P11" s="117"/>
      <c r="Q11" s="117"/>
      <c r="R11" s="117"/>
      <c r="S11" s="117"/>
      <c r="T11" s="117"/>
      <c r="U11" s="179"/>
    </row>
    <row r="12" spans="1:22" s="16" customFormat="1" ht="15">
      <c r="A12" s="766"/>
      <c r="B12" s="713" t="s">
        <v>4943</v>
      </c>
      <c r="C12" s="713"/>
      <c r="D12" s="1137"/>
      <c r="E12" s="5"/>
      <c r="F12" s="5"/>
      <c r="G12" s="12"/>
      <c r="H12" s="14"/>
      <c r="I12" s="6"/>
      <c r="J12" s="6">
        <v>344538</v>
      </c>
      <c r="K12" s="7">
        <f>SUM(K13)</f>
        <v>0</v>
      </c>
      <c r="L12" s="7">
        <f t="shared" ref="L12" si="0">SUM(L13)</f>
        <v>344538</v>
      </c>
      <c r="M12" s="7">
        <f t="shared" ref="M12" si="1">SUM(M13)</f>
        <v>0</v>
      </c>
      <c r="N12" s="7">
        <f t="shared" ref="N12" si="2">SUM(N13)</f>
        <v>344538</v>
      </c>
      <c r="O12" s="6"/>
      <c r="P12" s="117"/>
      <c r="Q12" s="117"/>
      <c r="R12" s="7">
        <f t="shared" ref="R12:S13" si="3">SUM(R13)</f>
        <v>27423</v>
      </c>
      <c r="S12" s="7">
        <f t="shared" si="3"/>
        <v>7380</v>
      </c>
      <c r="T12" s="117"/>
      <c r="U12" s="179"/>
    </row>
    <row r="13" spans="1:22" s="16" customFormat="1" ht="15">
      <c r="B13" s="4" t="s">
        <v>52</v>
      </c>
      <c r="C13" s="4"/>
      <c r="D13" s="153"/>
      <c r="E13" s="683"/>
      <c r="F13" s="683"/>
      <c r="G13" s="191"/>
      <c r="H13" s="191"/>
      <c r="I13" s="93"/>
      <c r="J13" s="93"/>
      <c r="K13" s="147">
        <f>SUM(K14)</f>
        <v>0</v>
      </c>
      <c r="L13" s="147">
        <f t="shared" ref="L13:N13" si="4">SUM(L14)</f>
        <v>344538</v>
      </c>
      <c r="M13" s="147">
        <f t="shared" si="4"/>
        <v>0</v>
      </c>
      <c r="N13" s="147">
        <f t="shared" si="4"/>
        <v>344538</v>
      </c>
      <c r="O13" s="6"/>
      <c r="P13" s="117"/>
      <c r="Q13" s="117"/>
      <c r="R13" s="7">
        <f t="shared" si="3"/>
        <v>27423</v>
      </c>
      <c r="S13" s="7">
        <f t="shared" si="3"/>
        <v>7380</v>
      </c>
      <c r="T13" s="117"/>
      <c r="U13" s="1137"/>
      <c r="V13" s="14"/>
    </row>
    <row r="14" spans="1:22" s="16" customFormat="1" ht="30">
      <c r="B14" s="198" t="s">
        <v>116</v>
      </c>
      <c r="C14" s="185"/>
      <c r="D14" s="153" t="s">
        <v>117</v>
      </c>
      <c r="E14" s="683">
        <v>41484</v>
      </c>
      <c r="F14" s="683" t="s">
        <v>5783</v>
      </c>
      <c r="G14" s="98" t="s">
        <v>116</v>
      </c>
      <c r="H14" s="192"/>
      <c r="I14" s="67">
        <v>3477537</v>
      </c>
      <c r="J14" s="67"/>
      <c r="K14" s="14"/>
      <c r="L14" s="14">
        <v>344538</v>
      </c>
      <c r="M14" s="6"/>
      <c r="N14" s="10">
        <f>SUM(L14:M14)</f>
        <v>344538</v>
      </c>
      <c r="O14" s="10">
        <f>N14+I14</f>
        <v>3822075</v>
      </c>
      <c r="P14" s="180" t="s">
        <v>110</v>
      </c>
      <c r="Q14" s="1136"/>
      <c r="R14" s="1051">
        <v>27423</v>
      </c>
      <c r="S14" s="1051">
        <v>7380</v>
      </c>
      <c r="T14" s="1125" t="s">
        <v>4815</v>
      </c>
      <c r="U14" s="1137" t="s">
        <v>118</v>
      </c>
      <c r="V14" s="14" t="s">
        <v>119</v>
      </c>
    </row>
    <row r="15" spans="1:22" s="16" customFormat="1" ht="15">
      <c r="B15" s="64"/>
      <c r="C15" s="64"/>
      <c r="D15" s="153"/>
      <c r="E15" s="683"/>
      <c r="F15" s="683"/>
      <c r="G15" s="64"/>
      <c r="H15" s="64"/>
      <c r="I15" s="93"/>
      <c r="J15" s="93"/>
      <c r="K15" s="14"/>
      <c r="L15" s="14"/>
      <c r="M15" s="6"/>
      <c r="N15" s="10"/>
      <c r="O15" s="6"/>
      <c r="P15" s="117"/>
      <c r="Q15" s="117"/>
      <c r="R15" s="117"/>
      <c r="S15" s="117"/>
      <c r="T15" s="117"/>
      <c r="U15" s="1137"/>
      <c r="V15" s="14"/>
    </row>
    <row r="16" spans="1:22" s="16" customFormat="1" ht="15">
      <c r="A16" s="766" t="s">
        <v>4947</v>
      </c>
      <c r="B16" s="713" t="s">
        <v>4945</v>
      </c>
      <c r="C16" s="713"/>
      <c r="D16" s="153"/>
      <c r="E16" s="683"/>
      <c r="F16" s="683"/>
      <c r="G16" s="191"/>
      <c r="H16" s="191"/>
      <c r="I16" s="93"/>
      <c r="J16" s="93">
        <v>2612167</v>
      </c>
      <c r="K16" s="7">
        <f>SUM(K17)</f>
        <v>0</v>
      </c>
      <c r="L16" s="7">
        <f t="shared" ref="L16:L17" si="5">SUM(L17)</f>
        <v>0</v>
      </c>
      <c r="M16" s="7">
        <f t="shared" ref="M16:M17" si="6">SUM(M17)</f>
        <v>2516166.6269999999</v>
      </c>
      <c r="N16" s="7">
        <f t="shared" ref="N16:N17" si="7">SUM(N17)</f>
        <v>2516166.6269999999</v>
      </c>
      <c r="O16" s="6"/>
      <c r="P16" s="117"/>
      <c r="Q16" s="117"/>
      <c r="R16" s="7">
        <f t="shared" ref="R16:S16" si="8">SUM(R17)</f>
        <v>0</v>
      </c>
      <c r="S16" s="7">
        <f t="shared" si="8"/>
        <v>0</v>
      </c>
      <c r="T16" s="117"/>
      <c r="U16" s="1137"/>
      <c r="V16" s="14"/>
    </row>
    <row r="17" spans="1:22" s="16" customFormat="1" ht="15">
      <c r="B17" s="4" t="s">
        <v>52</v>
      </c>
      <c r="C17" s="4"/>
      <c r="D17" s="153"/>
      <c r="E17" s="683"/>
      <c r="F17" s="683"/>
      <c r="G17" s="191"/>
      <c r="H17" s="191"/>
      <c r="I17" s="93"/>
      <c r="J17" s="93"/>
      <c r="K17" s="147">
        <f>SUM(K18)</f>
        <v>0</v>
      </c>
      <c r="L17" s="147">
        <f t="shared" si="5"/>
        <v>0</v>
      </c>
      <c r="M17" s="147">
        <f t="shared" si="6"/>
        <v>2516166.6269999999</v>
      </c>
      <c r="N17" s="147">
        <f t="shared" si="7"/>
        <v>2516166.6269999999</v>
      </c>
      <c r="O17" s="6"/>
      <c r="P17" s="117"/>
      <c r="Q17" s="117"/>
      <c r="R17" s="7">
        <f>SUM(R18)</f>
        <v>0</v>
      </c>
      <c r="S17" s="7">
        <f>SUM(S18)</f>
        <v>0</v>
      </c>
      <c r="T17" s="117"/>
      <c r="U17" s="1137"/>
      <c r="V17" s="14"/>
    </row>
    <row r="18" spans="1:22" s="16" customFormat="1" ht="30">
      <c r="B18" s="198" t="s">
        <v>120</v>
      </c>
      <c r="C18" s="198"/>
      <c r="D18" s="153" t="s">
        <v>117</v>
      </c>
      <c r="E18" s="683">
        <v>41484</v>
      </c>
      <c r="F18" s="683" t="s">
        <v>4980</v>
      </c>
      <c r="G18" s="98" t="s">
        <v>120</v>
      </c>
      <c r="H18" s="192"/>
      <c r="I18" s="67">
        <v>2000000</v>
      </c>
      <c r="J18" s="67"/>
      <c r="K18" s="6"/>
      <c r="L18" s="186"/>
      <c r="M18" s="10">
        <v>2516166.6269999999</v>
      </c>
      <c r="N18" s="10">
        <f>SUM(L18:M18)</f>
        <v>2516166.6269999999</v>
      </c>
      <c r="O18" s="10">
        <f>N18+I18</f>
        <v>4516166.6270000003</v>
      </c>
      <c r="P18" s="180" t="s">
        <v>110</v>
      </c>
      <c r="Q18" s="1137" t="s">
        <v>134</v>
      </c>
      <c r="R18" s="1051"/>
      <c r="S18" s="1051"/>
      <c r="T18" s="1125" t="s">
        <v>4809</v>
      </c>
      <c r="U18" s="1137" t="s">
        <v>118</v>
      </c>
      <c r="V18" s="14" t="s">
        <v>121</v>
      </c>
    </row>
    <row r="19" spans="1:22" s="16" customFormat="1" ht="15">
      <c r="B19" s="198"/>
      <c r="C19" s="198"/>
      <c r="D19" s="153"/>
      <c r="E19" s="683"/>
      <c r="F19" s="683"/>
      <c r="G19" s="181"/>
      <c r="H19" s="192"/>
      <c r="I19" s="67"/>
      <c r="J19" s="67"/>
      <c r="K19" s="6"/>
      <c r="L19" s="186"/>
      <c r="M19" s="10"/>
      <c r="N19" s="10"/>
      <c r="O19" s="10"/>
      <c r="P19" s="1136"/>
      <c r="Q19" s="1137"/>
      <c r="R19" s="117"/>
      <c r="S19" s="117"/>
      <c r="T19" s="117"/>
      <c r="U19" s="1137"/>
      <c r="V19" s="14"/>
    </row>
    <row r="20" spans="1:22" s="16" customFormat="1" ht="15">
      <c r="B20" s="199" t="s">
        <v>127</v>
      </c>
      <c r="C20" s="199"/>
      <c r="D20" s="153"/>
      <c r="E20" s="683"/>
      <c r="F20" s="683"/>
      <c r="G20" s="181"/>
      <c r="H20" s="192"/>
      <c r="I20" s="67"/>
      <c r="J20" s="67"/>
      <c r="K20" s="6"/>
      <c r="L20" s="186"/>
      <c r="M20" s="10"/>
      <c r="N20" s="10"/>
      <c r="O20" s="10"/>
      <c r="P20" s="1136"/>
      <c r="Q20" s="1137"/>
      <c r="R20" s="117"/>
      <c r="S20" s="117"/>
      <c r="T20" s="117"/>
      <c r="U20" s="1137"/>
      <c r="V20" s="14"/>
    </row>
    <row r="21" spans="1:22" s="16" customFormat="1" ht="15">
      <c r="B21" s="198"/>
      <c r="C21" s="198"/>
      <c r="D21" s="153"/>
      <c r="E21" s="683"/>
      <c r="F21" s="683"/>
      <c r="G21" s="181"/>
      <c r="H21" s="192"/>
      <c r="I21" s="67"/>
      <c r="J21" s="67"/>
      <c r="K21" s="6"/>
      <c r="L21" s="186"/>
      <c r="M21" s="10"/>
      <c r="N21" s="10"/>
      <c r="O21" s="10"/>
      <c r="P21" s="1136"/>
      <c r="Q21" s="1137"/>
      <c r="R21" s="117"/>
      <c r="S21" s="117"/>
      <c r="T21" s="117"/>
      <c r="U21" s="1137"/>
      <c r="V21" s="14"/>
    </row>
    <row r="22" spans="1:22" s="16" customFormat="1" ht="15">
      <c r="A22" s="766" t="s">
        <v>4946</v>
      </c>
      <c r="B22" s="713" t="s">
        <v>58</v>
      </c>
      <c r="C22" s="713"/>
      <c r="D22" s="1137"/>
      <c r="E22" s="26"/>
      <c r="F22" s="26"/>
      <c r="G22" s="12"/>
      <c r="H22" s="12"/>
      <c r="I22" s="10"/>
      <c r="J22" s="93">
        <v>1302264</v>
      </c>
      <c r="K22" s="7">
        <f>SUM(K23:K24)</f>
        <v>0</v>
      </c>
      <c r="L22" s="7">
        <f>SUM(L23:L24)</f>
        <v>0</v>
      </c>
      <c r="M22" s="7">
        <f>SUM(M23:M24)</f>
        <v>1302264</v>
      </c>
      <c r="N22" s="7">
        <f>SUM(N23:N24)</f>
        <v>1302264</v>
      </c>
      <c r="O22" s="14"/>
      <c r="P22" s="179"/>
      <c r="Q22" s="179"/>
      <c r="R22" s="7">
        <f t="shared" ref="R22:S22" si="9">SUM(R23:R24)</f>
        <v>0</v>
      </c>
      <c r="S22" s="7">
        <f t="shared" si="9"/>
        <v>0</v>
      </c>
      <c r="T22" s="8"/>
    </row>
    <row r="23" spans="1:22" s="16" customFormat="1" ht="30">
      <c r="B23" s="57" t="s">
        <v>122</v>
      </c>
      <c r="C23" s="57"/>
      <c r="D23" s="69" t="s">
        <v>123</v>
      </c>
      <c r="E23" s="13">
        <v>41456</v>
      </c>
      <c r="F23" s="26" t="s">
        <v>5784</v>
      </c>
      <c r="G23" s="18" t="s">
        <v>122</v>
      </c>
      <c r="H23" s="18"/>
      <c r="I23" s="67"/>
      <c r="J23" s="13"/>
      <c r="K23" s="13"/>
      <c r="M23" s="67">
        <v>1219534</v>
      </c>
      <c r="N23" s="10">
        <f>SUM(L23:M23)</f>
        <v>1219534</v>
      </c>
      <c r="P23" s="180" t="s">
        <v>110</v>
      </c>
      <c r="Q23" s="1137" t="s">
        <v>134</v>
      </c>
      <c r="R23" s="1051"/>
      <c r="S23" s="1051"/>
      <c r="T23" s="1051"/>
      <c r="U23" s="1137" t="s">
        <v>118</v>
      </c>
      <c r="V23" s="14" t="s">
        <v>124</v>
      </c>
    </row>
    <row r="24" spans="1:22" s="16" customFormat="1" ht="30">
      <c r="B24" s="57" t="s">
        <v>122</v>
      </c>
      <c r="C24" s="57"/>
      <c r="D24" s="69" t="s">
        <v>125</v>
      </c>
      <c r="E24" s="13">
        <v>41464</v>
      </c>
      <c r="F24" s="26" t="s">
        <v>5784</v>
      </c>
      <c r="G24" s="18" t="s">
        <v>122</v>
      </c>
      <c r="H24" s="18"/>
      <c r="I24" s="67"/>
      <c r="J24" s="13"/>
      <c r="K24" s="13"/>
      <c r="M24" s="67">
        <v>82730</v>
      </c>
      <c r="N24" s="10">
        <f>SUM(L24:M24)</f>
        <v>82730</v>
      </c>
      <c r="P24" s="180" t="s">
        <v>110</v>
      </c>
      <c r="Q24" s="1137" t="s">
        <v>134</v>
      </c>
      <c r="R24" s="1051"/>
      <c r="S24" s="1051"/>
      <c r="T24" s="1051"/>
      <c r="U24" s="1137" t="s">
        <v>118</v>
      </c>
      <c r="V24" s="14" t="s">
        <v>124</v>
      </c>
    </row>
    <row r="25" spans="1:22" s="16" customFormat="1" ht="15">
      <c r="B25" s="14"/>
      <c r="C25" s="14"/>
      <c r="D25" s="1137"/>
      <c r="E25" s="26"/>
      <c r="F25" s="26"/>
      <c r="G25" s="12"/>
      <c r="H25" s="12"/>
      <c r="I25" s="10"/>
      <c r="J25" s="26"/>
      <c r="K25" s="26"/>
      <c r="M25" s="14"/>
      <c r="P25" s="179"/>
      <c r="Q25" s="1137"/>
      <c r="R25" s="8"/>
      <c r="S25" s="8"/>
      <c r="T25" s="8"/>
      <c r="U25" s="14"/>
      <c r="V25" s="14"/>
    </row>
    <row r="26" spans="1:22" s="16" customFormat="1" ht="15">
      <c r="A26" s="766" t="s">
        <v>4948</v>
      </c>
      <c r="B26" s="713" t="s">
        <v>28</v>
      </c>
      <c r="C26" s="713"/>
      <c r="D26" s="1137"/>
      <c r="E26" s="26"/>
      <c r="F26" s="26"/>
      <c r="G26" s="12"/>
      <c r="H26" s="12"/>
      <c r="I26" s="10"/>
      <c r="J26" s="93">
        <v>4600000</v>
      </c>
      <c r="K26" s="7">
        <f>SUM(K30)</f>
        <v>0</v>
      </c>
      <c r="L26" s="7">
        <f t="shared" ref="L26:M26" si="10">SUM(L30)</f>
        <v>0</v>
      </c>
      <c r="M26" s="7">
        <f t="shared" si="10"/>
        <v>150000</v>
      </c>
      <c r="N26" s="7">
        <f>N27+N30+N39+N42+N53+N35</f>
        <v>4459880.9469999997</v>
      </c>
      <c r="P26" s="179"/>
      <c r="Q26" s="1137"/>
      <c r="R26" s="7">
        <f t="shared" ref="R26:S26" si="11">R27+R30+R39+R42+R53+R35</f>
        <v>3727335</v>
      </c>
      <c r="S26" s="7">
        <f t="shared" si="11"/>
        <v>880157</v>
      </c>
      <c r="T26" s="8"/>
      <c r="U26" s="14"/>
      <c r="V26" s="14"/>
    </row>
    <row r="27" spans="1:22" s="16" customFormat="1" ht="15">
      <c r="B27" s="4" t="s">
        <v>137</v>
      </c>
      <c r="C27" s="713"/>
      <c r="D27" s="1137"/>
      <c r="E27" s="26"/>
      <c r="F27" s="26"/>
      <c r="G27" s="12"/>
      <c r="H27" s="12"/>
      <c r="I27" s="10"/>
      <c r="J27" s="93"/>
      <c r="K27" s="7"/>
      <c r="L27" s="7"/>
      <c r="M27" s="7"/>
      <c r="N27" s="11">
        <f>SUM(N28)</f>
        <v>6214</v>
      </c>
      <c r="P27" s="179"/>
      <c r="Q27" s="1137"/>
      <c r="R27" s="400">
        <f t="shared" ref="R27:S27" si="12">SUM(R28)</f>
        <v>0</v>
      </c>
      <c r="S27" s="400">
        <f t="shared" si="12"/>
        <v>0</v>
      </c>
      <c r="T27" s="8"/>
      <c r="U27" s="14"/>
      <c r="V27" s="14"/>
    </row>
    <row r="28" spans="1:22" s="16" customFormat="1" ht="30">
      <c r="B28" s="144" t="s">
        <v>4480</v>
      </c>
      <c r="C28" s="713"/>
      <c r="D28" s="69" t="s">
        <v>4484</v>
      </c>
      <c r="E28" s="13">
        <v>41635</v>
      </c>
      <c r="F28" s="26" t="s">
        <v>5786</v>
      </c>
      <c r="G28" s="18" t="s">
        <v>5785</v>
      </c>
      <c r="H28" s="12"/>
      <c r="I28" s="10"/>
      <c r="J28" s="93"/>
      <c r="K28" s="7"/>
      <c r="L28" s="7"/>
      <c r="M28" s="7"/>
      <c r="N28" s="10">
        <v>6214</v>
      </c>
      <c r="P28" s="179"/>
      <c r="Q28" s="1137"/>
      <c r="R28" s="8"/>
      <c r="S28" s="8"/>
      <c r="T28" s="8"/>
      <c r="U28" s="14"/>
      <c r="V28" s="14" t="s">
        <v>4481</v>
      </c>
    </row>
    <row r="29" spans="1:22" s="16" customFormat="1" ht="15">
      <c r="B29" s="713"/>
      <c r="C29" s="713"/>
      <c r="D29" s="1137"/>
      <c r="E29" s="26"/>
      <c r="F29" s="26"/>
      <c r="G29" s="12"/>
      <c r="H29" s="12"/>
      <c r="I29" s="10"/>
      <c r="J29" s="93"/>
      <c r="K29" s="7"/>
      <c r="L29" s="7"/>
      <c r="M29" s="7"/>
      <c r="N29" s="6"/>
      <c r="P29" s="179"/>
      <c r="Q29" s="1137"/>
      <c r="R29" s="8"/>
      <c r="S29" s="8"/>
      <c r="T29" s="8"/>
      <c r="U29" s="14"/>
      <c r="V29" s="14"/>
    </row>
    <row r="30" spans="1:22" s="16" customFormat="1" ht="15">
      <c r="B30" s="4" t="s">
        <v>65</v>
      </c>
      <c r="C30" s="4"/>
      <c r="D30" s="153"/>
      <c r="E30" s="683"/>
      <c r="F30" s="683"/>
      <c r="G30" s="191"/>
      <c r="H30" s="191"/>
      <c r="I30" s="93"/>
      <c r="J30" s="93"/>
      <c r="K30" s="147">
        <f>SUM(K31)</f>
        <v>0</v>
      </c>
      <c r="L30" s="147">
        <f t="shared" ref="L30" si="13">SUM(L31)</f>
        <v>0</v>
      </c>
      <c r="M30" s="147">
        <f t="shared" ref="M30" si="14">SUM(M31)</f>
        <v>150000</v>
      </c>
      <c r="N30" s="147">
        <f>SUM(N31:N33)</f>
        <v>450000</v>
      </c>
      <c r="O30" s="6"/>
      <c r="P30" s="117"/>
      <c r="Q30" s="1137"/>
      <c r="R30" s="7">
        <f t="shared" ref="R30:S30" si="15">SUM(R31:R33)</f>
        <v>0</v>
      </c>
      <c r="S30" s="7">
        <f t="shared" si="15"/>
        <v>0</v>
      </c>
      <c r="T30" s="117"/>
      <c r="U30" s="1137"/>
      <c r="V30" s="14"/>
    </row>
    <row r="31" spans="1:22" s="16" customFormat="1" ht="30">
      <c r="B31" s="57" t="s">
        <v>122</v>
      </c>
      <c r="C31" s="57"/>
      <c r="D31" s="69" t="s">
        <v>126</v>
      </c>
      <c r="E31" s="13">
        <v>41460</v>
      </c>
      <c r="F31" s="26" t="s">
        <v>5784</v>
      </c>
      <c r="G31" s="18" t="s">
        <v>122</v>
      </c>
      <c r="H31" s="18"/>
      <c r="I31" s="67"/>
      <c r="J31" s="13"/>
      <c r="K31" s="13"/>
      <c r="M31" s="67">
        <v>150000</v>
      </c>
      <c r="N31" s="10">
        <f>SUM(L31:M31)</f>
        <v>150000</v>
      </c>
      <c r="P31" s="180" t="s">
        <v>110</v>
      </c>
      <c r="Q31" s="1137" t="s">
        <v>134</v>
      </c>
      <c r="R31" s="1051"/>
      <c r="S31" s="1051"/>
      <c r="T31" s="1051"/>
      <c r="U31" s="1137" t="s">
        <v>118</v>
      </c>
      <c r="V31" s="14" t="s">
        <v>124</v>
      </c>
    </row>
    <row r="32" spans="1:22" s="16" customFormat="1" ht="30">
      <c r="B32" s="57" t="s">
        <v>122</v>
      </c>
      <c r="C32" s="57"/>
      <c r="D32" s="69" t="s">
        <v>4485</v>
      </c>
      <c r="E32" s="13">
        <v>41631</v>
      </c>
      <c r="F32" s="26" t="s">
        <v>5784</v>
      </c>
      <c r="G32" s="18" t="s">
        <v>122</v>
      </c>
      <c r="H32" s="18"/>
      <c r="I32" s="67"/>
      <c r="J32" s="13"/>
      <c r="K32" s="13"/>
      <c r="M32" s="67"/>
      <c r="N32" s="10">
        <v>200000</v>
      </c>
      <c r="P32" s="180"/>
      <c r="Q32" s="1137"/>
      <c r="R32" s="1051"/>
      <c r="S32" s="1051"/>
      <c r="T32" s="1051"/>
      <c r="U32" s="1137"/>
      <c r="V32" s="14" t="s">
        <v>124</v>
      </c>
    </row>
    <row r="33" spans="2:22" s="16" customFormat="1" ht="30">
      <c r="B33" s="57" t="s">
        <v>122</v>
      </c>
      <c r="C33" s="57"/>
      <c r="D33" s="69" t="s">
        <v>4486</v>
      </c>
      <c r="E33" s="13">
        <v>41635</v>
      </c>
      <c r="F33" s="26" t="s">
        <v>5784</v>
      </c>
      <c r="G33" s="18" t="s">
        <v>122</v>
      </c>
      <c r="H33" s="18"/>
      <c r="I33" s="67"/>
      <c r="J33" s="13"/>
      <c r="K33" s="13"/>
      <c r="M33" s="67"/>
      <c r="N33" s="10">
        <v>100000</v>
      </c>
      <c r="P33" s="180"/>
      <c r="Q33" s="1137"/>
      <c r="R33" s="1051"/>
      <c r="S33" s="1051"/>
      <c r="T33" s="1051"/>
      <c r="U33" s="1137"/>
      <c r="V33" s="14" t="s">
        <v>124</v>
      </c>
    </row>
    <row r="34" spans="2:22" s="16" customFormat="1" ht="15">
      <c r="B34" s="57"/>
      <c r="C34" s="57"/>
      <c r="D34" s="69"/>
      <c r="E34" s="13"/>
      <c r="F34" s="13"/>
      <c r="G34" s="18"/>
      <c r="H34" s="18"/>
      <c r="I34" s="67"/>
      <c r="J34" s="13"/>
      <c r="K34" s="13"/>
      <c r="M34" s="67"/>
      <c r="N34" s="10"/>
      <c r="P34" s="180"/>
      <c r="Q34" s="1137"/>
      <c r="R34" s="1051"/>
      <c r="S34" s="1051"/>
      <c r="T34" s="1051"/>
      <c r="U34" s="1137"/>
      <c r="V34" s="14"/>
    </row>
    <row r="35" spans="2:22" s="16" customFormat="1" ht="15">
      <c r="B35" s="4" t="s">
        <v>70</v>
      </c>
      <c r="C35" s="57"/>
      <c r="D35" s="69"/>
      <c r="E35" s="13"/>
      <c r="F35" s="13"/>
      <c r="G35" s="18"/>
      <c r="H35" s="18"/>
      <c r="I35" s="67"/>
      <c r="J35" s="13"/>
      <c r="K35" s="13"/>
      <c r="M35" s="67"/>
      <c r="N35" s="147">
        <f>SUM(N36)</f>
        <v>164000</v>
      </c>
      <c r="P35" s="180"/>
      <c r="Q35" s="1137"/>
      <c r="R35" s="7">
        <f t="shared" ref="R35:S35" si="16">SUM(R36)</f>
        <v>0</v>
      </c>
      <c r="S35" s="7">
        <f t="shared" si="16"/>
        <v>0</v>
      </c>
      <c r="T35" s="1051"/>
      <c r="U35" s="1137"/>
      <c r="V35" s="14"/>
    </row>
    <row r="36" spans="2:22" s="16" customFormat="1" ht="45">
      <c r="B36" s="144" t="s">
        <v>4532</v>
      </c>
      <c r="C36" s="57"/>
      <c r="D36" s="69" t="s">
        <v>4533</v>
      </c>
      <c r="E36" s="13">
        <v>41635</v>
      </c>
      <c r="F36" s="26" t="s">
        <v>5788</v>
      </c>
      <c r="G36" s="18" t="s">
        <v>5787</v>
      </c>
      <c r="H36" s="18"/>
      <c r="I36" s="67"/>
      <c r="J36" s="13"/>
      <c r="K36" s="13"/>
      <c r="M36" s="67"/>
      <c r="N36" s="10">
        <v>164000</v>
      </c>
      <c r="P36" s="180"/>
      <c r="Q36" s="1137"/>
      <c r="R36" s="1051"/>
      <c r="S36" s="1051"/>
      <c r="T36" s="1051"/>
      <c r="U36" s="1137"/>
      <c r="V36" s="14"/>
    </row>
    <row r="37" spans="2:22" s="16" customFormat="1" ht="15">
      <c r="B37" s="57"/>
      <c r="C37" s="57"/>
      <c r="D37" s="69"/>
      <c r="E37" s="13"/>
      <c r="F37" s="13"/>
      <c r="G37" s="18"/>
      <c r="H37" s="18"/>
      <c r="I37" s="67"/>
      <c r="J37" s="13"/>
      <c r="K37" s="13"/>
      <c r="M37" s="67"/>
      <c r="N37" s="10"/>
      <c r="P37" s="180"/>
      <c r="Q37" s="1137"/>
      <c r="R37" s="1051"/>
      <c r="S37" s="1051"/>
      <c r="T37" s="1051"/>
      <c r="U37" s="1137"/>
      <c r="V37" s="14"/>
    </row>
    <row r="38" spans="2:22" s="16" customFormat="1" ht="15">
      <c r="B38" s="4" t="s">
        <v>289</v>
      </c>
      <c r="C38" s="57"/>
      <c r="D38" s="69"/>
      <c r="E38" s="13"/>
      <c r="F38" s="13"/>
      <c r="G38" s="18"/>
      <c r="H38" s="18"/>
      <c r="I38" s="67"/>
      <c r="J38" s="13"/>
      <c r="K38" s="13"/>
      <c r="M38" s="67"/>
      <c r="N38" s="10"/>
      <c r="P38" s="180"/>
      <c r="Q38" s="1137"/>
      <c r="R38" s="1051"/>
      <c r="S38" s="1051"/>
      <c r="T38" s="1051"/>
      <c r="U38" s="1137"/>
      <c r="V38" s="14"/>
    </row>
    <row r="39" spans="2:22" s="16" customFormat="1" ht="15">
      <c r="B39" s="27" t="s">
        <v>296</v>
      </c>
      <c r="C39" s="57"/>
      <c r="D39" s="69"/>
      <c r="E39" s="13"/>
      <c r="F39" s="13"/>
      <c r="G39" s="18"/>
      <c r="H39" s="18"/>
      <c r="I39" s="67"/>
      <c r="J39" s="13"/>
      <c r="K39" s="13"/>
      <c r="M39" s="67"/>
      <c r="N39" s="147">
        <f>SUM(N40)</f>
        <v>10000</v>
      </c>
      <c r="P39" s="180"/>
      <c r="Q39" s="1137"/>
      <c r="R39" s="7">
        <f t="shared" ref="R39:S39" si="17">SUM(R40)</f>
        <v>0</v>
      </c>
      <c r="S39" s="7">
        <f t="shared" si="17"/>
        <v>0</v>
      </c>
      <c r="T39" s="1051"/>
      <c r="U39" s="1137"/>
      <c r="V39" s="14"/>
    </row>
    <row r="40" spans="2:22" s="16" customFormat="1" ht="45">
      <c r="B40" s="57" t="s">
        <v>4483</v>
      </c>
      <c r="C40" s="57"/>
      <c r="D40" s="69" t="s">
        <v>4487</v>
      </c>
      <c r="E40" s="13">
        <v>41635</v>
      </c>
      <c r="F40" s="26" t="s">
        <v>5790</v>
      </c>
      <c r="G40" s="18" t="s">
        <v>5789</v>
      </c>
      <c r="H40" s="18"/>
      <c r="I40" s="67"/>
      <c r="J40" s="13"/>
      <c r="K40" s="13"/>
      <c r="M40" s="67"/>
      <c r="N40" s="10">
        <v>10000</v>
      </c>
      <c r="P40" s="180"/>
      <c r="Q40" s="1137"/>
      <c r="R40" s="1051"/>
      <c r="S40" s="1051"/>
      <c r="T40" s="1051"/>
      <c r="U40" s="1137"/>
      <c r="V40" s="14" t="s">
        <v>4497</v>
      </c>
    </row>
    <row r="41" spans="2:22" s="16" customFormat="1" ht="15">
      <c r="B41" s="57"/>
      <c r="C41" s="57"/>
      <c r="D41" s="69"/>
      <c r="E41" s="13"/>
      <c r="F41" s="13"/>
      <c r="G41" s="18"/>
      <c r="H41" s="18"/>
      <c r="I41" s="67"/>
      <c r="J41" s="13"/>
      <c r="K41" s="13"/>
      <c r="M41" s="67"/>
      <c r="N41" s="10"/>
      <c r="P41" s="180"/>
      <c r="Q41" s="1137"/>
      <c r="R41" s="1051"/>
      <c r="S41" s="1051"/>
      <c r="T41" s="1051"/>
      <c r="U41" s="1137"/>
      <c r="V41" s="14"/>
    </row>
    <row r="42" spans="2:22" s="16" customFormat="1" ht="15">
      <c r="B42" s="4" t="s">
        <v>3491</v>
      </c>
      <c r="C42" s="57"/>
      <c r="D42" s="69"/>
      <c r="E42" s="13"/>
      <c r="F42" s="13"/>
      <c r="G42" s="18"/>
      <c r="H42" s="18"/>
      <c r="I42" s="67"/>
      <c r="J42" s="13"/>
      <c r="K42" s="13"/>
      <c r="M42" s="67"/>
      <c r="N42" s="147">
        <f>N43</f>
        <v>121331.947</v>
      </c>
      <c r="P42" s="180"/>
      <c r="Q42" s="1137"/>
      <c r="R42" s="7">
        <f t="shared" ref="R42:S42" si="18">R43</f>
        <v>19000</v>
      </c>
      <c r="S42" s="7">
        <f t="shared" si="18"/>
        <v>19000</v>
      </c>
      <c r="T42" s="1051"/>
      <c r="U42" s="1137"/>
      <c r="V42" s="14"/>
    </row>
    <row r="43" spans="2:22" s="16" customFormat="1" ht="15">
      <c r="B43" s="27" t="s">
        <v>4482</v>
      </c>
      <c r="C43" s="57"/>
      <c r="D43" s="69"/>
      <c r="E43" s="13"/>
      <c r="F43" s="13"/>
      <c r="G43" s="18"/>
      <c r="H43" s="18"/>
      <c r="I43" s="67"/>
      <c r="J43" s="13"/>
      <c r="K43" s="13"/>
      <c r="M43" s="67"/>
      <c r="N43" s="147">
        <f>SUM(N44:N51)</f>
        <v>121331.947</v>
      </c>
      <c r="P43" s="180"/>
      <c r="Q43" s="1137"/>
      <c r="R43" s="7">
        <f t="shared" ref="R43:S43" si="19">SUM(R44:R51)</f>
        <v>19000</v>
      </c>
      <c r="S43" s="7">
        <f t="shared" si="19"/>
        <v>19000</v>
      </c>
      <c r="T43" s="1051"/>
      <c r="U43" s="1137"/>
      <c r="V43" s="14"/>
    </row>
    <row r="44" spans="2:22" s="16" customFormat="1" ht="15">
      <c r="B44" s="86" t="s">
        <v>4517</v>
      </c>
      <c r="C44" s="57"/>
      <c r="D44" s="69" t="s">
        <v>4488</v>
      </c>
      <c r="E44" s="13">
        <v>41635</v>
      </c>
      <c r="F44" s="13"/>
      <c r="G44" s="18"/>
      <c r="H44" s="18"/>
      <c r="I44" s="67"/>
      <c r="J44" s="13"/>
      <c r="K44" s="13"/>
      <c r="M44" s="67"/>
      <c r="N44" s="10">
        <v>6713.3919999999998</v>
      </c>
      <c r="P44" s="180"/>
      <c r="Q44" s="1137"/>
      <c r="R44" s="1051"/>
      <c r="S44" s="1051"/>
      <c r="T44" s="1051"/>
      <c r="U44" s="1137"/>
      <c r="V44" s="14" t="s">
        <v>4496</v>
      </c>
    </row>
    <row r="45" spans="2:22" s="16" customFormat="1" ht="15">
      <c r="B45" s="86" t="s">
        <v>315</v>
      </c>
      <c r="C45" s="57"/>
      <c r="D45" s="69" t="s">
        <v>4489</v>
      </c>
      <c r="E45" s="13">
        <v>41635</v>
      </c>
      <c r="F45" s="13"/>
      <c r="G45" s="18"/>
      <c r="H45" s="18"/>
      <c r="I45" s="67"/>
      <c r="J45" s="13"/>
      <c r="K45" s="13"/>
      <c r="M45" s="67"/>
      <c r="N45" s="10">
        <v>18000</v>
      </c>
      <c r="P45" s="180"/>
      <c r="Q45" s="1137"/>
      <c r="R45" s="1051">
        <v>18000</v>
      </c>
      <c r="S45" s="1051">
        <v>18000</v>
      </c>
      <c r="T45" s="1051"/>
      <c r="U45" s="1137"/>
      <c r="V45" s="14" t="s">
        <v>4496</v>
      </c>
    </row>
    <row r="46" spans="2:22" s="16" customFormat="1" ht="15">
      <c r="B46" s="86" t="s">
        <v>4518</v>
      </c>
      <c r="C46" s="57"/>
      <c r="D46" s="69" t="s">
        <v>4490</v>
      </c>
      <c r="E46" s="13">
        <v>41635</v>
      </c>
      <c r="F46" s="13"/>
      <c r="G46" s="18"/>
      <c r="H46" s="18"/>
      <c r="I46" s="67"/>
      <c r="J46" s="13"/>
      <c r="K46" s="13"/>
      <c r="M46" s="67"/>
      <c r="N46" s="10">
        <v>80000</v>
      </c>
      <c r="P46" s="180"/>
      <c r="Q46" s="1137"/>
      <c r="R46" s="1051"/>
      <c r="S46" s="1051"/>
      <c r="T46" s="1051"/>
      <c r="U46" s="1137"/>
      <c r="V46" s="14" t="s">
        <v>4496</v>
      </c>
    </row>
    <row r="47" spans="2:22" s="16" customFormat="1" ht="15">
      <c r="B47" s="86" t="s">
        <v>4519</v>
      </c>
      <c r="C47" s="57"/>
      <c r="D47" s="69" t="s">
        <v>4491</v>
      </c>
      <c r="E47" s="13">
        <v>41635</v>
      </c>
      <c r="F47" s="13"/>
      <c r="G47" s="18"/>
      <c r="H47" s="18"/>
      <c r="I47" s="67"/>
      <c r="J47" s="13"/>
      <c r="K47" s="13"/>
      <c r="M47" s="67"/>
      <c r="N47" s="10">
        <v>4500</v>
      </c>
      <c r="P47" s="180"/>
      <c r="Q47" s="1137"/>
      <c r="R47" s="1051"/>
      <c r="S47" s="1051"/>
      <c r="T47" s="1051"/>
      <c r="U47" s="1137"/>
      <c r="V47" s="14" t="s">
        <v>4496</v>
      </c>
    </row>
    <row r="48" spans="2:22" s="16" customFormat="1" ht="15">
      <c r="B48" s="86" t="s">
        <v>4520</v>
      </c>
      <c r="C48" s="57"/>
      <c r="D48" s="69" t="s">
        <v>4492</v>
      </c>
      <c r="E48" s="13">
        <v>41635</v>
      </c>
      <c r="F48" s="13"/>
      <c r="G48" s="18"/>
      <c r="H48" s="18"/>
      <c r="I48" s="67"/>
      <c r="J48" s="13"/>
      <c r="K48" s="13"/>
      <c r="M48" s="67"/>
      <c r="N48" s="10">
        <v>4479.5200000000004</v>
      </c>
      <c r="P48" s="180"/>
      <c r="Q48" s="1137"/>
      <c r="R48" s="1051"/>
      <c r="S48" s="1051"/>
      <c r="T48" s="1051"/>
      <c r="U48" s="1137"/>
      <c r="V48" s="14" t="s">
        <v>4496</v>
      </c>
    </row>
    <row r="49" spans="2:22" s="16" customFormat="1" ht="15">
      <c r="B49" s="86" t="s">
        <v>4521</v>
      </c>
      <c r="C49" s="57"/>
      <c r="D49" s="69" t="s">
        <v>4493</v>
      </c>
      <c r="E49" s="13">
        <v>41635</v>
      </c>
      <c r="F49" s="13"/>
      <c r="G49" s="18"/>
      <c r="H49" s="18"/>
      <c r="I49" s="67"/>
      <c r="J49" s="13"/>
      <c r="K49" s="13"/>
      <c r="M49" s="67"/>
      <c r="N49" s="10">
        <v>1000</v>
      </c>
      <c r="P49" s="180"/>
      <c r="Q49" s="1137"/>
      <c r="R49" s="1051">
        <v>1000</v>
      </c>
      <c r="S49" s="1051">
        <v>1000</v>
      </c>
      <c r="T49" s="1051"/>
      <c r="U49" s="1137"/>
      <c r="V49" s="14" t="s">
        <v>4496</v>
      </c>
    </row>
    <row r="50" spans="2:22" s="16" customFormat="1" ht="15">
      <c r="B50" s="86" t="s">
        <v>4522</v>
      </c>
      <c r="C50" s="57"/>
      <c r="D50" s="69" t="s">
        <v>4494</v>
      </c>
      <c r="E50" s="13">
        <v>41635</v>
      </c>
      <c r="F50" s="13"/>
      <c r="G50" s="18"/>
      <c r="H50" s="18"/>
      <c r="I50" s="67"/>
      <c r="J50" s="13"/>
      <c r="K50" s="13"/>
      <c r="M50" s="67"/>
      <c r="N50" s="10">
        <v>3000</v>
      </c>
      <c r="P50" s="180"/>
      <c r="Q50" s="1137"/>
      <c r="R50" s="1051"/>
      <c r="S50" s="1051"/>
      <c r="T50" s="1051"/>
      <c r="U50" s="1137"/>
      <c r="V50" s="14" t="s">
        <v>4496</v>
      </c>
    </row>
    <row r="51" spans="2:22" s="16" customFormat="1" ht="15">
      <c r="B51" s="86" t="s">
        <v>4523</v>
      </c>
      <c r="C51" s="57"/>
      <c r="D51" s="69" t="s">
        <v>4495</v>
      </c>
      <c r="E51" s="13">
        <v>41635</v>
      </c>
      <c r="F51" s="13"/>
      <c r="G51" s="18"/>
      <c r="H51" s="18"/>
      <c r="I51" s="67"/>
      <c r="J51" s="13"/>
      <c r="K51" s="13"/>
      <c r="M51" s="67"/>
      <c r="N51" s="10">
        <v>3639.0349999999999</v>
      </c>
      <c r="P51" s="180"/>
      <c r="Q51" s="1137"/>
      <c r="R51" s="1051"/>
      <c r="S51" s="1051"/>
      <c r="T51" s="1051"/>
      <c r="U51" s="1137"/>
      <c r="V51" s="14" t="s">
        <v>4496</v>
      </c>
    </row>
    <row r="52" spans="2:22" s="16" customFormat="1" ht="15">
      <c r="B52" s="57"/>
      <c r="C52" s="57"/>
      <c r="D52" s="69"/>
      <c r="E52" s="13"/>
      <c r="F52" s="13"/>
      <c r="G52" s="18"/>
      <c r="H52" s="18"/>
      <c r="I52" s="67"/>
      <c r="J52" s="13"/>
      <c r="K52" s="13"/>
      <c r="M52" s="67"/>
      <c r="N52" s="10"/>
      <c r="P52" s="180"/>
      <c r="Q52" s="1137"/>
      <c r="R52" s="1051"/>
      <c r="S52" s="1051"/>
      <c r="T52" s="1051"/>
      <c r="U52" s="1137"/>
      <c r="V52" s="14"/>
    </row>
    <row r="53" spans="2:22" s="16" customFormat="1" ht="15">
      <c r="B53" s="4" t="s">
        <v>71</v>
      </c>
      <c r="C53" s="57"/>
      <c r="D53" s="69"/>
      <c r="E53" s="13"/>
      <c r="F53" s="13"/>
      <c r="G53" s="18"/>
      <c r="H53" s="18"/>
      <c r="I53" s="67"/>
      <c r="J53" s="13"/>
      <c r="K53" s="13"/>
      <c r="M53" s="67"/>
      <c r="N53" s="147">
        <f>N54+N57+N60+N63+N66+N69+N72</f>
        <v>3708335</v>
      </c>
      <c r="P53" s="180"/>
      <c r="Q53" s="1137"/>
      <c r="R53" s="7">
        <f t="shared" ref="R53:S53" si="20">R54+R57+R60+R63+R66+R69+R72</f>
        <v>3708335</v>
      </c>
      <c r="S53" s="7">
        <f t="shared" si="20"/>
        <v>861157</v>
      </c>
      <c r="T53" s="1051"/>
      <c r="U53" s="1137"/>
      <c r="V53" s="14"/>
    </row>
    <row r="54" spans="2:22" s="16" customFormat="1" ht="15">
      <c r="B54" s="27" t="s">
        <v>4505</v>
      </c>
      <c r="C54" s="57"/>
      <c r="D54" s="69"/>
      <c r="E54" s="13"/>
      <c r="F54" s="13"/>
      <c r="G54" s="18"/>
      <c r="H54" s="18"/>
      <c r="I54" s="67"/>
      <c r="J54" s="13"/>
      <c r="K54" s="13"/>
      <c r="M54" s="67"/>
      <c r="N54" s="147">
        <f>SUM(N55)</f>
        <v>1000000</v>
      </c>
      <c r="P54" s="180"/>
      <c r="Q54" s="1137"/>
      <c r="R54" s="7">
        <f t="shared" ref="R54:S54" si="21">SUM(R55)</f>
        <v>1000000</v>
      </c>
      <c r="S54" s="7">
        <f t="shared" si="21"/>
        <v>0</v>
      </c>
      <c r="T54" s="1051"/>
      <c r="U54" s="1137"/>
      <c r="V54" s="14"/>
    </row>
    <row r="55" spans="2:22" s="16" customFormat="1" ht="60">
      <c r="B55" s="144" t="s">
        <v>4506</v>
      </c>
      <c r="C55" s="57"/>
      <c r="D55" s="69" t="s">
        <v>4509</v>
      </c>
      <c r="E55" s="13">
        <v>41635</v>
      </c>
      <c r="F55" s="26" t="s">
        <v>4625</v>
      </c>
      <c r="G55" s="72" t="s">
        <v>5685</v>
      </c>
      <c r="H55" s="18"/>
      <c r="I55" s="67"/>
      <c r="J55" s="13"/>
      <c r="K55" s="13"/>
      <c r="M55" s="67"/>
      <c r="N55" s="10">
        <v>1000000</v>
      </c>
      <c r="P55" s="180"/>
      <c r="Q55" s="1137"/>
      <c r="R55" s="1051">
        <v>1000000</v>
      </c>
      <c r="S55" s="1051"/>
      <c r="T55" s="1051"/>
      <c r="U55" s="1137"/>
      <c r="V55" s="12" t="s">
        <v>4516</v>
      </c>
    </row>
    <row r="56" spans="2:22" s="16" customFormat="1" ht="15">
      <c r="B56" s="1252"/>
      <c r="C56" s="57"/>
      <c r="D56" s="69"/>
      <c r="E56" s="13"/>
      <c r="F56" s="13"/>
      <c r="G56" s="18"/>
      <c r="H56" s="18"/>
      <c r="I56" s="67"/>
      <c r="J56" s="13"/>
      <c r="K56" s="13"/>
      <c r="M56" s="67"/>
      <c r="N56" s="10"/>
      <c r="P56" s="180"/>
      <c r="Q56" s="1137"/>
      <c r="R56" s="1051"/>
      <c r="S56" s="1051"/>
      <c r="T56" s="1051"/>
      <c r="U56" s="1137"/>
      <c r="V56" s="14"/>
    </row>
    <row r="57" spans="2:22" s="16" customFormat="1" ht="15">
      <c r="B57" s="27" t="s">
        <v>4498</v>
      </c>
      <c r="C57" s="57"/>
      <c r="D57" s="69"/>
      <c r="E57" s="13"/>
      <c r="F57" s="13"/>
      <c r="G57" s="18"/>
      <c r="H57" s="18"/>
      <c r="I57" s="67"/>
      <c r="J57" s="13"/>
      <c r="K57" s="13"/>
      <c r="M57" s="67"/>
      <c r="N57" s="147">
        <f>SUM(N58:N59)</f>
        <v>500000</v>
      </c>
      <c r="P57" s="180"/>
      <c r="Q57" s="1137"/>
      <c r="R57" s="7">
        <f t="shared" ref="R57:S57" si="22">SUM(R58:R59)</f>
        <v>500000</v>
      </c>
      <c r="S57" s="7">
        <f t="shared" si="22"/>
        <v>0</v>
      </c>
      <c r="T57" s="1051"/>
      <c r="U57" s="1137"/>
      <c r="V57" s="14"/>
    </row>
    <row r="58" spans="2:22" s="16" customFormat="1" ht="75">
      <c r="B58" s="711" t="s">
        <v>4507</v>
      </c>
      <c r="C58" s="57"/>
      <c r="D58" s="69" t="s">
        <v>4510</v>
      </c>
      <c r="E58" s="13">
        <v>41635</v>
      </c>
      <c r="F58" s="26" t="s">
        <v>4625</v>
      </c>
      <c r="G58" s="72" t="s">
        <v>5685</v>
      </c>
      <c r="H58" s="18"/>
      <c r="I58" s="67"/>
      <c r="J58" s="13"/>
      <c r="K58" s="13"/>
      <c r="M58" s="67"/>
      <c r="N58" s="10">
        <v>500000</v>
      </c>
      <c r="P58" s="180"/>
      <c r="Q58" s="1137"/>
      <c r="R58" s="1051">
        <v>500000</v>
      </c>
      <c r="S58" s="1051"/>
      <c r="T58" s="1125" t="s">
        <v>6098</v>
      </c>
      <c r="U58" s="1137"/>
      <c r="V58" s="12" t="s">
        <v>4516</v>
      </c>
    </row>
    <row r="59" spans="2:22" s="16" customFormat="1" ht="15">
      <c r="B59" s="606"/>
      <c r="C59" s="57"/>
      <c r="D59" s="69"/>
      <c r="E59" s="13"/>
      <c r="F59" s="13"/>
      <c r="G59" s="18"/>
      <c r="H59" s="18"/>
      <c r="I59" s="67"/>
      <c r="J59" s="13"/>
      <c r="K59" s="13"/>
      <c r="M59" s="67"/>
      <c r="N59" s="10"/>
      <c r="P59" s="180"/>
      <c r="Q59" s="1137"/>
      <c r="R59" s="1051"/>
      <c r="S59" s="1051"/>
      <c r="T59" s="1051"/>
      <c r="U59" s="1137"/>
      <c r="V59" s="14"/>
    </row>
    <row r="60" spans="2:22" s="16" customFormat="1" ht="15">
      <c r="B60" s="27" t="s">
        <v>4499</v>
      </c>
      <c r="C60" s="57"/>
      <c r="D60" s="69"/>
      <c r="E60" s="13"/>
      <c r="F60" s="13"/>
      <c r="G60" s="18"/>
      <c r="H60" s="18"/>
      <c r="I60" s="67"/>
      <c r="J60" s="13"/>
      <c r="K60" s="13"/>
      <c r="M60" s="67"/>
      <c r="N60" s="147">
        <f>SUM(N61:N62)</f>
        <v>500000</v>
      </c>
      <c r="P60" s="180"/>
      <c r="Q60" s="1137"/>
      <c r="R60" s="7">
        <f t="shared" ref="R60:S60" si="23">SUM(R61:R62)</f>
        <v>500000</v>
      </c>
      <c r="S60" s="7">
        <f t="shared" si="23"/>
        <v>0</v>
      </c>
      <c r="T60" s="1051"/>
      <c r="U60" s="1137"/>
      <c r="V60" s="14"/>
    </row>
    <row r="61" spans="2:22" s="16" customFormat="1" ht="60">
      <c r="B61" s="711" t="s">
        <v>4508</v>
      </c>
      <c r="C61" s="57"/>
      <c r="D61" s="69" t="s">
        <v>4511</v>
      </c>
      <c r="E61" s="13">
        <v>41635</v>
      </c>
      <c r="F61" s="26" t="s">
        <v>4625</v>
      </c>
      <c r="G61" s="72" t="s">
        <v>5685</v>
      </c>
      <c r="H61" s="18"/>
      <c r="I61" s="67"/>
      <c r="J61" s="13"/>
      <c r="K61" s="13"/>
      <c r="M61" s="67"/>
      <c r="N61" s="10">
        <v>500000</v>
      </c>
      <c r="P61" s="180"/>
      <c r="Q61" s="1137"/>
      <c r="R61" s="1051">
        <v>500000</v>
      </c>
      <c r="S61" s="1051"/>
      <c r="T61" s="1051"/>
      <c r="U61" s="1137"/>
      <c r="V61" s="12" t="s">
        <v>4516</v>
      </c>
    </row>
    <row r="62" spans="2:22" s="16" customFormat="1" ht="15">
      <c r="B62" s="606"/>
      <c r="C62" s="57"/>
      <c r="D62" s="69"/>
      <c r="E62" s="13"/>
      <c r="F62" s="13"/>
      <c r="G62" s="18"/>
      <c r="H62" s="18"/>
      <c r="I62" s="67"/>
      <c r="J62" s="13"/>
      <c r="K62" s="13"/>
      <c r="M62" s="67"/>
      <c r="N62" s="10"/>
      <c r="P62" s="180"/>
      <c r="Q62" s="1137"/>
      <c r="R62" s="1051"/>
      <c r="S62" s="1051"/>
      <c r="T62" s="1051"/>
      <c r="U62" s="1137"/>
      <c r="V62" s="14"/>
    </row>
    <row r="63" spans="2:22" s="16" customFormat="1" ht="15">
      <c r="B63" s="27" t="s">
        <v>4500</v>
      </c>
      <c r="C63" s="57"/>
      <c r="D63" s="69"/>
      <c r="E63" s="13"/>
      <c r="F63" s="13"/>
      <c r="G63" s="18"/>
      <c r="H63" s="18"/>
      <c r="I63" s="67"/>
      <c r="J63" s="13"/>
      <c r="K63" s="13"/>
      <c r="M63" s="67"/>
      <c r="N63" s="147">
        <f>SUM(N64:N65)</f>
        <v>500000</v>
      </c>
      <c r="P63" s="180"/>
      <c r="Q63" s="1137"/>
      <c r="R63" s="7">
        <f t="shared" ref="R63:S63" si="24">SUM(R64:R65)</f>
        <v>500000</v>
      </c>
      <c r="S63" s="7">
        <f t="shared" si="24"/>
        <v>217700</v>
      </c>
      <c r="T63" s="1051"/>
      <c r="U63" s="1137"/>
      <c r="V63" s="14"/>
    </row>
    <row r="64" spans="2:22" s="16" customFormat="1" ht="60">
      <c r="B64" s="711" t="s">
        <v>4508</v>
      </c>
      <c r="C64" s="57"/>
      <c r="D64" s="69" t="s">
        <v>4512</v>
      </c>
      <c r="E64" s="13">
        <v>41635</v>
      </c>
      <c r="F64" s="26" t="s">
        <v>4625</v>
      </c>
      <c r="G64" s="72" t="s">
        <v>5685</v>
      </c>
      <c r="H64" s="18"/>
      <c r="I64" s="67"/>
      <c r="J64" s="13"/>
      <c r="K64" s="13"/>
      <c r="M64" s="67"/>
      <c r="N64" s="10">
        <v>500000</v>
      </c>
      <c r="P64" s="180"/>
      <c r="Q64" s="1137"/>
      <c r="R64" s="1051">
        <v>500000</v>
      </c>
      <c r="S64" s="1051">
        <v>217700</v>
      </c>
      <c r="T64" s="1125" t="s">
        <v>6099</v>
      </c>
      <c r="U64" s="1137"/>
      <c r="V64" s="12" t="s">
        <v>4516</v>
      </c>
    </row>
    <row r="65" spans="1:22" s="16" customFormat="1" ht="15">
      <c r="B65" s="606"/>
      <c r="C65" s="57"/>
      <c r="D65" s="69"/>
      <c r="E65" s="13"/>
      <c r="F65" s="13"/>
      <c r="G65" s="18"/>
      <c r="H65" s="18"/>
      <c r="I65" s="67"/>
      <c r="J65" s="13"/>
      <c r="K65" s="13"/>
      <c r="M65" s="67"/>
      <c r="N65" s="10"/>
      <c r="P65" s="180"/>
      <c r="Q65" s="1137"/>
      <c r="R65" s="1051"/>
      <c r="S65" s="1051"/>
      <c r="T65" s="1051"/>
      <c r="U65" s="1137"/>
      <c r="V65" s="14"/>
    </row>
    <row r="66" spans="1:22" s="16" customFormat="1" ht="15">
      <c r="B66" s="27" t="s">
        <v>4501</v>
      </c>
      <c r="C66" s="57"/>
      <c r="D66" s="69"/>
      <c r="E66" s="13"/>
      <c r="F66" s="13"/>
      <c r="G66" s="18"/>
      <c r="H66" s="18"/>
      <c r="I66" s="67"/>
      <c r="J66" s="13"/>
      <c r="K66" s="13"/>
      <c r="M66" s="67"/>
      <c r="N66" s="147">
        <f>SUM(N67:N68)</f>
        <v>500000</v>
      </c>
      <c r="P66" s="180"/>
      <c r="Q66" s="1137"/>
      <c r="R66" s="7">
        <f t="shared" ref="R66:S66" si="25">SUM(R67:R68)</f>
        <v>500000</v>
      </c>
      <c r="S66" s="7">
        <f t="shared" si="25"/>
        <v>492857</v>
      </c>
      <c r="T66" s="1051"/>
      <c r="U66" s="1137"/>
      <c r="V66" s="14"/>
    </row>
    <row r="67" spans="1:22" s="16" customFormat="1" ht="105">
      <c r="B67" s="711" t="s">
        <v>4508</v>
      </c>
      <c r="C67" s="57"/>
      <c r="D67" s="69" t="s">
        <v>4513</v>
      </c>
      <c r="E67" s="13">
        <v>41635</v>
      </c>
      <c r="F67" s="26" t="s">
        <v>4625</v>
      </c>
      <c r="G67" s="72" t="s">
        <v>5685</v>
      </c>
      <c r="H67" s="18"/>
      <c r="I67" s="67"/>
      <c r="J67" s="13"/>
      <c r="K67" s="13"/>
      <c r="M67" s="67"/>
      <c r="N67" s="10">
        <v>500000</v>
      </c>
      <c r="P67" s="180"/>
      <c r="Q67" s="1137"/>
      <c r="R67" s="1051">
        <v>500000</v>
      </c>
      <c r="S67" s="1051">
        <v>492857</v>
      </c>
      <c r="T67" s="1125" t="s">
        <v>6100</v>
      </c>
      <c r="U67" s="1137"/>
      <c r="V67" s="12" t="s">
        <v>4516</v>
      </c>
    </row>
    <row r="68" spans="1:22" s="16" customFormat="1" ht="15">
      <c r="B68" s="606"/>
      <c r="C68" s="57"/>
      <c r="D68" s="69"/>
      <c r="E68" s="13"/>
      <c r="F68" s="13"/>
      <c r="G68" s="18"/>
      <c r="H68" s="18"/>
      <c r="I68" s="67"/>
      <c r="J68" s="13"/>
      <c r="K68" s="13"/>
      <c r="M68" s="67"/>
      <c r="N68" s="10"/>
      <c r="P68" s="180"/>
      <c r="Q68" s="1137"/>
      <c r="R68" s="1051"/>
      <c r="S68" s="1051"/>
      <c r="T68" s="1051"/>
      <c r="U68" s="1137"/>
      <c r="V68" s="14"/>
    </row>
    <row r="69" spans="1:22" s="16" customFormat="1" ht="15">
      <c r="B69" s="27" t="s">
        <v>4502</v>
      </c>
      <c r="C69" s="57"/>
      <c r="D69" s="69"/>
      <c r="E69" s="13"/>
      <c r="F69" s="13"/>
      <c r="G69" s="18"/>
      <c r="H69" s="18"/>
      <c r="I69" s="67"/>
      <c r="J69" s="13"/>
      <c r="K69" s="13"/>
      <c r="M69" s="67"/>
      <c r="N69" s="147">
        <f>SUM(N70:N71)</f>
        <v>58335</v>
      </c>
      <c r="P69" s="180"/>
      <c r="Q69" s="1137"/>
      <c r="R69" s="7">
        <f t="shared" ref="R69:S69" si="26">SUM(R70:R71)</f>
        <v>58335</v>
      </c>
      <c r="S69" s="7">
        <f t="shared" si="26"/>
        <v>0</v>
      </c>
      <c r="T69" s="1051"/>
      <c r="U69" s="1137"/>
      <c r="V69" s="14"/>
    </row>
    <row r="70" spans="1:22" s="16" customFormat="1" ht="60">
      <c r="B70" s="711" t="s">
        <v>4503</v>
      </c>
      <c r="C70" s="57"/>
      <c r="D70" s="69" t="s">
        <v>4514</v>
      </c>
      <c r="E70" s="13">
        <v>41635</v>
      </c>
      <c r="F70" s="26" t="s">
        <v>4625</v>
      </c>
      <c r="G70" s="72" t="s">
        <v>5685</v>
      </c>
      <c r="H70" s="18"/>
      <c r="I70" s="67"/>
      <c r="J70" s="13"/>
      <c r="K70" s="13"/>
      <c r="M70" s="67"/>
      <c r="N70" s="10">
        <v>58335</v>
      </c>
      <c r="P70" s="180"/>
      <c r="Q70" s="1137"/>
      <c r="R70" s="1051">
        <v>58335</v>
      </c>
      <c r="S70" s="1051"/>
      <c r="T70" s="1051"/>
      <c r="U70" s="1137"/>
      <c r="V70" s="12" t="s">
        <v>4516</v>
      </c>
    </row>
    <row r="71" spans="1:22" s="16" customFormat="1" ht="15">
      <c r="B71" s="1252"/>
      <c r="C71" s="57"/>
      <c r="D71" s="69"/>
      <c r="E71" s="13"/>
      <c r="F71" s="13"/>
      <c r="G71" s="18"/>
      <c r="H71" s="18"/>
      <c r="I71" s="67"/>
      <c r="J71" s="13"/>
      <c r="K71" s="13"/>
      <c r="M71" s="67"/>
      <c r="N71" s="10"/>
      <c r="P71" s="180"/>
      <c r="Q71" s="1137"/>
      <c r="R71" s="1051"/>
      <c r="S71" s="1051"/>
      <c r="T71" s="1051"/>
      <c r="U71" s="1137"/>
      <c r="V71" s="14"/>
    </row>
    <row r="72" spans="1:22" s="16" customFormat="1" ht="15">
      <c r="B72" s="27" t="s">
        <v>4504</v>
      </c>
      <c r="C72" s="57"/>
      <c r="D72" s="69"/>
      <c r="E72" s="13"/>
      <c r="F72" s="13"/>
      <c r="G72" s="18"/>
      <c r="H72" s="18"/>
      <c r="I72" s="67"/>
      <c r="J72" s="13"/>
      <c r="K72" s="13"/>
      <c r="M72" s="67"/>
      <c r="N72" s="147">
        <f>SUM(N73:N74)</f>
        <v>650000</v>
      </c>
      <c r="P72" s="180"/>
      <c r="Q72" s="1137"/>
      <c r="R72" s="7">
        <f t="shared" ref="R72:S72" si="27">SUM(R73:R74)</f>
        <v>650000</v>
      </c>
      <c r="S72" s="7">
        <f t="shared" si="27"/>
        <v>150600</v>
      </c>
      <c r="T72" s="1051"/>
      <c r="U72" s="1137"/>
      <c r="V72" s="14"/>
    </row>
    <row r="73" spans="1:22" s="16" customFormat="1" ht="120">
      <c r="B73" s="711" t="s">
        <v>4508</v>
      </c>
      <c r="C73" s="57"/>
      <c r="D73" s="69" t="s">
        <v>4515</v>
      </c>
      <c r="E73" s="13">
        <v>41635</v>
      </c>
      <c r="F73" s="26" t="s">
        <v>4625</v>
      </c>
      <c r="G73" s="72" t="s">
        <v>5685</v>
      </c>
      <c r="H73" s="18"/>
      <c r="I73" s="67"/>
      <c r="J73" s="13"/>
      <c r="K73" s="13"/>
      <c r="M73" s="67"/>
      <c r="N73" s="10">
        <v>650000</v>
      </c>
      <c r="P73" s="180"/>
      <c r="Q73" s="1137"/>
      <c r="R73" s="1051">
        <v>650000</v>
      </c>
      <c r="S73" s="1051">
        <v>150600</v>
      </c>
      <c r="T73" s="1125" t="s">
        <v>6101</v>
      </c>
      <c r="U73" s="1137"/>
      <c r="V73" s="12" t="s">
        <v>4516</v>
      </c>
    </row>
    <row r="74" spans="1:22" s="16" customFormat="1" ht="15">
      <c r="B74" s="57"/>
      <c r="C74" s="57"/>
      <c r="D74" s="69"/>
      <c r="E74" s="13"/>
      <c r="F74" s="13"/>
      <c r="G74" s="18"/>
      <c r="H74" s="18"/>
      <c r="I74" s="67"/>
      <c r="J74" s="13"/>
      <c r="K74" s="13"/>
      <c r="M74" s="67"/>
      <c r="N74" s="10"/>
      <c r="P74" s="180"/>
      <c r="Q74" s="1137"/>
      <c r="R74" s="1051"/>
      <c r="S74" s="1051"/>
      <c r="T74" s="1051"/>
      <c r="U74" s="1137"/>
      <c r="V74" s="14"/>
    </row>
    <row r="75" spans="1:22" s="16" customFormat="1" ht="15">
      <c r="A75" s="755" t="s">
        <v>4950</v>
      </c>
      <c r="B75" s="713" t="s">
        <v>4949</v>
      </c>
      <c r="C75" s="713"/>
      <c r="D75" s="153"/>
      <c r="E75" s="683"/>
      <c r="F75" s="683"/>
      <c r="G75" s="181"/>
      <c r="H75" s="192"/>
      <c r="I75" s="67"/>
      <c r="J75" s="93">
        <v>250000</v>
      </c>
      <c r="K75" s="7">
        <f>SUM(K76)</f>
        <v>0</v>
      </c>
      <c r="L75" s="7">
        <f t="shared" ref="L75:N75" si="28">SUM(L76)</f>
        <v>0</v>
      </c>
      <c r="M75" s="7">
        <f t="shared" si="28"/>
        <v>250000</v>
      </c>
      <c r="N75" s="7">
        <f t="shared" si="28"/>
        <v>250000</v>
      </c>
      <c r="O75" s="10"/>
      <c r="P75" s="1136"/>
      <c r="Q75" s="1137"/>
      <c r="R75" s="7">
        <f t="shared" ref="R75:S76" si="29">SUM(R76)</f>
        <v>250000</v>
      </c>
      <c r="S75" s="7">
        <f t="shared" si="29"/>
        <v>250000</v>
      </c>
      <c r="T75" s="117"/>
      <c r="U75" s="1137"/>
      <c r="V75" s="14"/>
    </row>
    <row r="76" spans="1:22" s="16" customFormat="1" ht="15">
      <c r="B76" s="4" t="s">
        <v>128</v>
      </c>
      <c r="C76" s="4"/>
      <c r="D76" s="153"/>
      <c r="E76" s="683"/>
      <c r="F76" s="683"/>
      <c r="G76" s="181"/>
      <c r="H76" s="192"/>
      <c r="I76" s="67"/>
      <c r="J76" s="67"/>
      <c r="K76" s="147">
        <f>SUM(K77)</f>
        <v>0</v>
      </c>
      <c r="L76" s="147">
        <f t="shared" ref="L76" si="30">SUM(L77)</f>
        <v>0</v>
      </c>
      <c r="M76" s="147">
        <f t="shared" ref="M76" si="31">SUM(M77)</f>
        <v>250000</v>
      </c>
      <c r="N76" s="147">
        <f t="shared" ref="N76" si="32">SUM(N77)</f>
        <v>250000</v>
      </c>
      <c r="O76" s="10"/>
      <c r="P76" s="1136"/>
      <c r="Q76" s="1137"/>
      <c r="R76" s="7">
        <f t="shared" si="29"/>
        <v>250000</v>
      </c>
      <c r="S76" s="7">
        <f t="shared" si="29"/>
        <v>250000</v>
      </c>
      <c r="T76" s="117"/>
      <c r="U76" s="1137"/>
      <c r="V76" s="14"/>
    </row>
    <row r="77" spans="1:22" s="30" customFormat="1" ht="409.5">
      <c r="B77" s="198" t="s">
        <v>129</v>
      </c>
      <c r="C77" s="198"/>
      <c r="D77" s="153" t="s">
        <v>130</v>
      </c>
      <c r="E77" s="683">
        <v>41478</v>
      </c>
      <c r="F77" s="683" t="s">
        <v>4963</v>
      </c>
      <c r="G77" s="98" t="s">
        <v>129</v>
      </c>
      <c r="H77" s="185"/>
      <c r="I77" s="201">
        <v>12500</v>
      </c>
      <c r="J77" s="31"/>
      <c r="K77" s="31"/>
      <c r="M77" s="202">
        <v>250000</v>
      </c>
      <c r="N77" s="203">
        <f>SUM(J77:M77)</f>
        <v>250000</v>
      </c>
      <c r="O77" s="201">
        <f>N77+I77</f>
        <v>262500</v>
      </c>
      <c r="P77" s="180" t="s">
        <v>110</v>
      </c>
      <c r="Q77" s="1137" t="s">
        <v>134</v>
      </c>
      <c r="R77" s="1051">
        <v>250000</v>
      </c>
      <c r="S77" s="1051">
        <v>250000</v>
      </c>
      <c r="T77" s="1052" t="s">
        <v>6056</v>
      </c>
      <c r="V77" s="31" t="s">
        <v>131</v>
      </c>
    </row>
    <row r="78" spans="1:22" s="16" customFormat="1" ht="15">
      <c r="B78" s="198"/>
      <c r="C78" s="198"/>
      <c r="D78" s="153"/>
      <c r="E78" s="683"/>
      <c r="F78" s="683"/>
      <c r="G78" s="181"/>
      <c r="H78" s="192"/>
      <c r="I78" s="67"/>
      <c r="J78" s="67"/>
      <c r="K78" s="6"/>
      <c r="L78" s="186"/>
      <c r="M78" s="10"/>
      <c r="N78" s="10"/>
      <c r="O78" s="10"/>
      <c r="P78" s="1136"/>
      <c r="Q78" s="1137"/>
      <c r="R78" s="117"/>
      <c r="S78" s="117"/>
      <c r="T78" s="117"/>
      <c r="U78" s="1137"/>
      <c r="V78" s="14"/>
    </row>
    <row r="79" spans="1:22" s="16" customFormat="1" ht="15">
      <c r="A79" s="988" t="s">
        <v>4952</v>
      </c>
      <c r="B79" s="953" t="s">
        <v>4953</v>
      </c>
      <c r="C79" s="989"/>
      <c r="D79" s="980"/>
      <c r="E79" s="976"/>
      <c r="F79" s="976"/>
      <c r="G79" s="181"/>
      <c r="H79" s="192"/>
      <c r="I79" s="67"/>
      <c r="J79" s="67"/>
      <c r="K79" s="6"/>
      <c r="L79" s="186"/>
      <c r="M79" s="10"/>
      <c r="N79" s="10"/>
      <c r="O79" s="10"/>
      <c r="P79" s="1136"/>
      <c r="Q79" s="1137"/>
      <c r="R79" s="117"/>
      <c r="S79" s="117"/>
      <c r="T79" s="117"/>
      <c r="U79" s="1137"/>
      <c r="V79" s="14"/>
    </row>
    <row r="80" spans="1:22" s="16" customFormat="1" ht="15">
      <c r="A80" s="14"/>
      <c r="B80" s="198"/>
      <c r="C80" s="198"/>
      <c r="D80" s="153"/>
      <c r="E80" s="683"/>
      <c r="F80" s="683"/>
      <c r="G80" s="181"/>
      <c r="H80" s="192"/>
      <c r="I80" s="67"/>
      <c r="J80" s="67"/>
      <c r="K80" s="6"/>
      <c r="L80" s="186"/>
      <c r="M80" s="10"/>
      <c r="N80" s="10"/>
      <c r="O80" s="10"/>
      <c r="P80" s="1136"/>
      <c r="Q80" s="1137"/>
      <c r="R80" s="117"/>
      <c r="S80" s="117"/>
      <c r="T80" s="117"/>
      <c r="U80" s="1137"/>
      <c r="V80" s="14"/>
    </row>
    <row r="81" spans="1:22" s="16" customFormat="1" ht="15">
      <c r="A81" s="14"/>
      <c r="B81" s="198"/>
      <c r="C81" s="198"/>
      <c r="D81" s="153"/>
      <c r="E81" s="683"/>
      <c r="F81" s="683"/>
      <c r="G81" s="181"/>
      <c r="H81" s="192"/>
      <c r="I81" s="67"/>
      <c r="J81" s="67"/>
      <c r="K81" s="6"/>
      <c r="L81" s="186"/>
      <c r="M81" s="10"/>
      <c r="N81" s="10"/>
      <c r="O81" s="10"/>
      <c r="P81" s="1136"/>
      <c r="Q81" s="1137"/>
      <c r="R81" s="117"/>
      <c r="S81" s="117"/>
      <c r="T81" s="117"/>
      <c r="U81" s="1137"/>
      <c r="V81" s="14"/>
    </row>
    <row r="82" spans="1:22" s="16" customFormat="1" ht="15">
      <c r="A82" s="765" t="s">
        <v>4954</v>
      </c>
      <c r="B82" s="713" t="s">
        <v>4951</v>
      </c>
      <c r="C82" s="713"/>
      <c r="D82" s="153"/>
      <c r="E82" s="683"/>
      <c r="F82" s="683"/>
      <c r="G82" s="181"/>
      <c r="H82" s="192"/>
      <c r="I82" s="67"/>
      <c r="J82" s="109">
        <v>95246</v>
      </c>
      <c r="K82" s="221">
        <f>SUM(K83)</f>
        <v>0</v>
      </c>
      <c r="L82" s="221">
        <f t="shared" ref="L82" si="33">SUM(L83)</f>
        <v>95246</v>
      </c>
      <c r="M82" s="221">
        <f t="shared" ref="M82" si="34">SUM(M83)</f>
        <v>0</v>
      </c>
      <c r="N82" s="221">
        <f t="shared" ref="N82" si="35">SUM(N83)</f>
        <v>95246</v>
      </c>
      <c r="O82" s="10"/>
      <c r="P82" s="1136"/>
      <c r="Q82" s="1137"/>
      <c r="R82" s="221">
        <f t="shared" ref="R82:S83" si="36">SUM(R83)</f>
        <v>26258</v>
      </c>
      <c r="S82" s="221">
        <f t="shared" si="36"/>
        <v>0</v>
      </c>
      <c r="T82" s="117"/>
      <c r="U82" s="1137"/>
      <c r="V82" s="14"/>
    </row>
    <row r="83" spans="1:22" s="16" customFormat="1" ht="15">
      <c r="B83" s="4" t="s">
        <v>70</v>
      </c>
      <c r="C83" s="4"/>
      <c r="D83" s="153"/>
      <c r="E83" s="683"/>
      <c r="F83" s="683"/>
      <c r="G83" s="181"/>
      <c r="H83" s="192"/>
      <c r="I83" s="67"/>
      <c r="J83" s="67"/>
      <c r="K83" s="147">
        <f>SUM(K84)</f>
        <v>0</v>
      </c>
      <c r="L83" s="147">
        <f t="shared" ref="L83" si="37">SUM(L84)</f>
        <v>95246</v>
      </c>
      <c r="M83" s="147">
        <f t="shared" ref="M83" si="38">SUM(M84)</f>
        <v>0</v>
      </c>
      <c r="N83" s="147">
        <f t="shared" ref="N83" si="39">SUM(N84)</f>
        <v>95246</v>
      </c>
      <c r="O83" s="10"/>
      <c r="P83" s="1136"/>
      <c r="Q83" s="1137"/>
      <c r="R83" s="7">
        <f t="shared" si="36"/>
        <v>26258</v>
      </c>
      <c r="S83" s="7">
        <f t="shared" si="36"/>
        <v>0</v>
      </c>
      <c r="T83" s="117"/>
      <c r="U83" s="1137"/>
      <c r="V83" s="14"/>
    </row>
    <row r="84" spans="1:22" s="63" customFormat="1" ht="35.25" customHeight="1">
      <c r="B84" s="198" t="s">
        <v>132</v>
      </c>
      <c r="C84" s="198"/>
      <c r="D84" s="153" t="s">
        <v>133</v>
      </c>
      <c r="E84" s="683">
        <v>41466</v>
      </c>
      <c r="F84" s="683" t="s">
        <v>5792</v>
      </c>
      <c r="G84" s="98" t="s">
        <v>5791</v>
      </c>
      <c r="H84" s="185"/>
      <c r="I84" s="184">
        <v>199720</v>
      </c>
      <c r="J84" s="204"/>
      <c r="L84" s="202">
        <v>95246</v>
      </c>
      <c r="M84" s="205"/>
      <c r="N84" s="203">
        <f>SUM(J84:M84)</f>
        <v>95246</v>
      </c>
      <c r="O84" s="6">
        <f>L84+I84</f>
        <v>294966</v>
      </c>
      <c r="P84" s="180" t="s">
        <v>110</v>
      </c>
      <c r="Q84" s="321" t="s">
        <v>134</v>
      </c>
      <c r="R84" s="1051">
        <v>26258</v>
      </c>
      <c r="S84" s="1051"/>
      <c r="T84" s="1051"/>
      <c r="U84" s="186" t="s">
        <v>118</v>
      </c>
      <c r="V84" s="203" t="s">
        <v>144</v>
      </c>
    </row>
    <row r="85" spans="1:22" s="16" customFormat="1" ht="15">
      <c r="B85" s="198"/>
      <c r="C85" s="198"/>
      <c r="D85" s="153"/>
      <c r="E85" s="683"/>
      <c r="F85" s="683"/>
      <c r="G85" s="181"/>
      <c r="H85" s="192"/>
      <c r="I85" s="67"/>
      <c r="J85" s="67"/>
      <c r="K85" s="6"/>
      <c r="L85" s="186"/>
      <c r="M85" s="10"/>
      <c r="N85" s="10"/>
      <c r="O85" s="10"/>
      <c r="P85" s="1136"/>
      <c r="Q85" s="1136"/>
      <c r="R85" s="117"/>
      <c r="S85" s="117"/>
      <c r="T85" s="117"/>
      <c r="U85" s="1137"/>
      <c r="V85" s="14"/>
    </row>
    <row r="86" spans="1:22" s="16" customFormat="1" ht="15">
      <c r="B86" s="198"/>
      <c r="C86" s="198"/>
      <c r="D86" s="153"/>
      <c r="E86" s="683"/>
      <c r="F86" s="683"/>
      <c r="G86" s="181"/>
      <c r="H86" s="192"/>
      <c r="I86" s="67"/>
      <c r="J86" s="67"/>
      <c r="K86" s="6"/>
      <c r="L86" s="186"/>
      <c r="M86" s="10"/>
      <c r="N86" s="10"/>
      <c r="O86" s="10"/>
      <c r="P86" s="1136"/>
      <c r="Q86" s="1136"/>
      <c r="R86" s="117"/>
      <c r="S86" s="117"/>
      <c r="T86" s="117"/>
      <c r="U86" s="1137"/>
      <c r="V86" s="14"/>
    </row>
    <row r="87" spans="1:22" s="71" customFormat="1" ht="20.100000000000001" customHeight="1" thickBot="1">
      <c r="B87" s="38" t="s">
        <v>4539</v>
      </c>
      <c r="C87" s="199"/>
      <c r="D87" s="37"/>
      <c r="E87" s="712"/>
      <c r="F87" s="712"/>
      <c r="G87" s="21"/>
      <c r="H87" s="35"/>
      <c r="I87" s="93"/>
      <c r="J87" s="736">
        <f>J12+J16+J22+J26+J75+J82+J9</f>
        <v>10125510</v>
      </c>
      <c r="K87" s="736" t="e">
        <f>#REF!+K12+K16+K22+K26+K75+K82</f>
        <v>#REF!</v>
      </c>
      <c r="L87" s="736" t="e">
        <f>#REF!+L12+L16+L22+L26+L75+L82</f>
        <v>#REF!</v>
      </c>
      <c r="M87" s="736" t="e">
        <f>#REF!+M12+M16+M22+M26+M75+M82</f>
        <v>#REF!</v>
      </c>
      <c r="N87" s="736">
        <f>N12+N16+N22+N26+N75+N82</f>
        <v>8968095.5739999991</v>
      </c>
      <c r="O87" s="35"/>
      <c r="P87" s="37"/>
      <c r="Q87" s="37"/>
      <c r="R87" s="736">
        <f t="shared" ref="R87:S87" si="40">R12+R16+R22+R26+R75+R82</f>
        <v>4031016</v>
      </c>
      <c r="S87" s="736">
        <f t="shared" si="40"/>
        <v>1137537</v>
      </c>
      <c r="T87" s="37"/>
      <c r="U87" s="737"/>
      <c r="V87" s="22"/>
    </row>
    <row r="88" spans="1:22" ht="15.95" customHeight="1" thickTop="1"/>
    <row r="110" spans="2:267" s="22" customFormat="1" ht="15.95" customHeight="1">
      <c r="B110" s="173" t="s">
        <v>22</v>
      </c>
      <c r="C110" s="173"/>
      <c r="D110" s="23"/>
      <c r="E110" s="380"/>
      <c r="F110" s="380"/>
      <c r="I110" s="65"/>
      <c r="J110" s="65"/>
      <c r="P110" s="23"/>
      <c r="Q110" s="23"/>
      <c r="R110" s="166"/>
      <c r="S110" s="166"/>
      <c r="T110" s="166"/>
      <c r="U110" s="23"/>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c r="IW110" s="39"/>
      <c r="IX110" s="39"/>
      <c r="IY110" s="39"/>
      <c r="IZ110" s="39"/>
      <c r="JA110" s="39"/>
      <c r="JB110" s="39"/>
      <c r="JC110" s="39"/>
      <c r="JD110" s="39"/>
      <c r="JE110" s="39"/>
      <c r="JF110" s="39"/>
      <c r="JG110" s="39"/>
    </row>
    <row r="659" spans="2:267" s="714" customFormat="1" ht="15.95" customHeight="1">
      <c r="B659" s="22"/>
      <c r="C659" s="22"/>
      <c r="D659" s="23" t="s">
        <v>23</v>
      </c>
      <c r="E659" s="380"/>
      <c r="F659" s="380"/>
      <c r="G659" s="22"/>
      <c r="H659" s="22"/>
      <c r="I659" s="65"/>
      <c r="J659" s="65"/>
      <c r="K659" s="22"/>
      <c r="L659" s="22"/>
      <c r="M659" s="22"/>
      <c r="N659" s="22"/>
      <c r="O659" s="22"/>
      <c r="P659" s="23"/>
      <c r="Q659" s="23"/>
      <c r="R659" s="166"/>
      <c r="S659" s="166"/>
      <c r="T659" s="166"/>
      <c r="U659" s="23"/>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c r="BR659" s="39"/>
      <c r="BS659" s="39"/>
      <c r="BT659" s="39"/>
      <c r="BU659" s="39"/>
      <c r="BV659" s="39"/>
      <c r="BW659" s="39"/>
      <c r="BX659" s="39"/>
      <c r="BY659" s="39"/>
      <c r="BZ659" s="39"/>
      <c r="CA659" s="39"/>
      <c r="CB659" s="39"/>
      <c r="CC659" s="39"/>
      <c r="CD659" s="39"/>
      <c r="CE659" s="39"/>
      <c r="CF659" s="39"/>
      <c r="CG659" s="39"/>
      <c r="CH659" s="39"/>
      <c r="CI659" s="39"/>
      <c r="CJ659" s="39"/>
      <c r="CK659" s="39"/>
      <c r="CL659" s="39"/>
      <c r="CM659" s="39"/>
      <c r="CN659" s="39"/>
      <c r="CO659" s="39"/>
      <c r="CP659" s="39"/>
      <c r="CQ659" s="39"/>
      <c r="CR659" s="39"/>
      <c r="CS659" s="39"/>
      <c r="CT659" s="39"/>
      <c r="CU659" s="39"/>
      <c r="CV659" s="39"/>
      <c r="CW659" s="39"/>
      <c r="CX659" s="39"/>
      <c r="CY659" s="39"/>
      <c r="CZ659" s="39"/>
      <c r="DA659" s="39"/>
      <c r="DB659" s="39"/>
      <c r="DC659" s="39"/>
      <c r="DD659" s="39"/>
      <c r="DE659" s="39"/>
      <c r="DF659" s="39"/>
      <c r="DG659" s="39"/>
      <c r="DH659" s="39"/>
      <c r="DI659" s="39"/>
      <c r="DJ659" s="39"/>
      <c r="DK659" s="39"/>
      <c r="DL659" s="39"/>
      <c r="DM659" s="39"/>
      <c r="DN659" s="39"/>
      <c r="DO659" s="39"/>
      <c r="DP659" s="39"/>
      <c r="DQ659" s="39"/>
      <c r="DR659" s="39"/>
      <c r="DS659" s="39"/>
      <c r="DT659" s="39"/>
      <c r="DU659" s="39"/>
      <c r="DV659" s="39"/>
      <c r="DW659" s="39"/>
      <c r="DX659" s="39"/>
      <c r="DY659" s="39"/>
      <c r="DZ659" s="39"/>
      <c r="EA659" s="39"/>
      <c r="EB659" s="39"/>
      <c r="EC659" s="39"/>
      <c r="ED659" s="39"/>
      <c r="EE659" s="39"/>
      <c r="EF659" s="39"/>
      <c r="EG659" s="39"/>
      <c r="EH659" s="39"/>
      <c r="EI659" s="39"/>
      <c r="EJ659" s="39"/>
      <c r="EK659" s="39"/>
      <c r="EL659" s="39"/>
      <c r="EM659" s="39"/>
      <c r="EN659" s="39"/>
      <c r="EO659" s="39"/>
      <c r="EP659" s="39"/>
      <c r="EQ659" s="39"/>
      <c r="ER659" s="39"/>
      <c r="ES659" s="39"/>
      <c r="ET659" s="39"/>
      <c r="EU659" s="39"/>
      <c r="EV659" s="39"/>
      <c r="EW659" s="39"/>
      <c r="EX659" s="39"/>
      <c r="EY659" s="39"/>
      <c r="EZ659" s="39"/>
      <c r="FA659" s="39"/>
      <c r="FB659" s="39"/>
      <c r="FC659" s="39"/>
      <c r="FD659" s="39"/>
      <c r="FE659" s="39"/>
      <c r="FF659" s="39"/>
      <c r="FG659" s="39"/>
      <c r="FH659" s="39"/>
      <c r="FI659" s="39"/>
      <c r="FJ659" s="39"/>
      <c r="FK659" s="39"/>
      <c r="FL659" s="39"/>
      <c r="FM659" s="39"/>
      <c r="FN659" s="39"/>
      <c r="FO659" s="39"/>
      <c r="FP659" s="39"/>
      <c r="FQ659" s="39"/>
      <c r="FR659" s="39"/>
      <c r="FS659" s="39"/>
      <c r="FT659" s="39"/>
      <c r="FU659" s="39"/>
      <c r="FV659" s="39"/>
      <c r="FW659" s="39"/>
      <c r="FX659" s="39"/>
      <c r="FY659" s="39"/>
      <c r="FZ659" s="39"/>
      <c r="GA659" s="39"/>
      <c r="GB659" s="39"/>
      <c r="GC659" s="39"/>
      <c r="GD659" s="39"/>
      <c r="GE659" s="39"/>
      <c r="GF659" s="39"/>
      <c r="GG659" s="39"/>
      <c r="GH659" s="39"/>
      <c r="GI659" s="39"/>
      <c r="GJ659" s="39"/>
      <c r="GK659" s="39"/>
      <c r="GL659" s="39"/>
      <c r="GM659" s="39"/>
      <c r="GN659" s="39"/>
      <c r="GO659" s="39"/>
      <c r="GP659" s="39"/>
      <c r="GQ659" s="39"/>
      <c r="GR659" s="39"/>
      <c r="GS659" s="39"/>
      <c r="GT659" s="39"/>
      <c r="GU659" s="39"/>
      <c r="GV659" s="39"/>
      <c r="GW659" s="39"/>
      <c r="GX659" s="39"/>
      <c r="GY659" s="39"/>
      <c r="GZ659" s="39"/>
      <c r="HA659" s="39"/>
      <c r="HB659" s="39"/>
      <c r="HC659" s="39"/>
      <c r="HD659" s="39"/>
      <c r="HE659" s="39"/>
      <c r="HF659" s="39"/>
      <c r="HG659" s="39"/>
      <c r="HH659" s="39"/>
      <c r="HI659" s="39"/>
      <c r="HJ659" s="39"/>
      <c r="HK659" s="39"/>
      <c r="HL659" s="39"/>
      <c r="HM659" s="39"/>
      <c r="HN659" s="39"/>
      <c r="HO659" s="39"/>
      <c r="HP659" s="39"/>
      <c r="HQ659" s="39"/>
      <c r="HR659" s="39"/>
      <c r="HS659" s="39"/>
      <c r="HT659" s="39"/>
      <c r="HU659" s="39"/>
      <c r="HV659" s="39"/>
      <c r="HW659" s="39"/>
      <c r="HX659" s="39"/>
      <c r="HY659" s="39"/>
      <c r="HZ659" s="39"/>
      <c r="IA659" s="39"/>
      <c r="IB659" s="39"/>
      <c r="IC659" s="39"/>
      <c r="ID659" s="39"/>
      <c r="IE659" s="39"/>
      <c r="IF659" s="39"/>
      <c r="IG659" s="39"/>
      <c r="IH659" s="39"/>
      <c r="II659" s="39"/>
      <c r="IJ659" s="39"/>
      <c r="IK659" s="39"/>
      <c r="IL659" s="39"/>
      <c r="IM659" s="39"/>
      <c r="IN659" s="39"/>
      <c r="IO659" s="39"/>
      <c r="IP659" s="39"/>
      <c r="IQ659" s="39"/>
      <c r="IR659" s="39"/>
      <c r="IS659" s="39"/>
      <c r="IT659" s="39"/>
      <c r="IU659" s="39"/>
      <c r="IV659" s="39"/>
      <c r="IW659" s="39"/>
      <c r="IX659" s="39"/>
      <c r="IY659" s="39"/>
      <c r="IZ659" s="39"/>
      <c r="JA659" s="39"/>
      <c r="JB659" s="39"/>
      <c r="JC659" s="39"/>
      <c r="JD659" s="39"/>
      <c r="JE659" s="39"/>
      <c r="JF659" s="39"/>
      <c r="JG659" s="39"/>
    </row>
    <row r="660" spans="2:267" s="714" customFormat="1" ht="15.95" customHeight="1">
      <c r="B660" s="22"/>
      <c r="C660" s="22"/>
      <c r="D660" s="23" t="s">
        <v>24</v>
      </c>
      <c r="E660" s="380"/>
      <c r="F660" s="380"/>
      <c r="G660" s="22"/>
      <c r="H660" s="22"/>
      <c r="I660" s="65"/>
      <c r="J660" s="65"/>
      <c r="K660" s="22"/>
      <c r="L660" s="22"/>
      <c r="M660" s="22"/>
      <c r="N660" s="22"/>
      <c r="O660" s="22"/>
      <c r="P660" s="23"/>
      <c r="Q660" s="23"/>
      <c r="R660" s="166"/>
      <c r="S660" s="166"/>
      <c r="T660" s="166"/>
      <c r="U660" s="23"/>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c r="BR660" s="39"/>
      <c r="BS660" s="39"/>
      <c r="BT660" s="39"/>
      <c r="BU660" s="39"/>
      <c r="BV660" s="39"/>
      <c r="BW660" s="39"/>
      <c r="BX660" s="39"/>
      <c r="BY660" s="39"/>
      <c r="BZ660" s="39"/>
      <c r="CA660" s="39"/>
      <c r="CB660" s="39"/>
      <c r="CC660" s="39"/>
      <c r="CD660" s="39"/>
      <c r="CE660" s="39"/>
      <c r="CF660" s="39"/>
      <c r="CG660" s="39"/>
      <c r="CH660" s="39"/>
      <c r="CI660" s="39"/>
      <c r="CJ660" s="39"/>
      <c r="CK660" s="39"/>
      <c r="CL660" s="39"/>
      <c r="CM660" s="39"/>
      <c r="CN660" s="39"/>
      <c r="CO660" s="39"/>
      <c r="CP660" s="39"/>
      <c r="CQ660" s="39"/>
      <c r="CR660" s="39"/>
      <c r="CS660" s="39"/>
      <c r="CT660" s="39"/>
      <c r="CU660" s="39"/>
      <c r="CV660" s="39"/>
      <c r="CW660" s="39"/>
      <c r="CX660" s="39"/>
      <c r="CY660" s="39"/>
      <c r="CZ660" s="39"/>
      <c r="DA660" s="39"/>
      <c r="DB660" s="39"/>
      <c r="DC660" s="39"/>
      <c r="DD660" s="39"/>
      <c r="DE660" s="39"/>
      <c r="DF660" s="39"/>
      <c r="DG660" s="39"/>
      <c r="DH660" s="39"/>
      <c r="DI660" s="39"/>
      <c r="DJ660" s="39"/>
      <c r="DK660" s="39"/>
      <c r="DL660" s="39"/>
      <c r="DM660" s="39"/>
      <c r="DN660" s="39"/>
      <c r="DO660" s="39"/>
      <c r="DP660" s="39"/>
      <c r="DQ660" s="39"/>
      <c r="DR660" s="39"/>
      <c r="DS660" s="39"/>
      <c r="DT660" s="39"/>
      <c r="DU660" s="39"/>
      <c r="DV660" s="39"/>
      <c r="DW660" s="39"/>
      <c r="DX660" s="39"/>
      <c r="DY660" s="39"/>
      <c r="DZ660" s="39"/>
      <c r="EA660" s="39"/>
      <c r="EB660" s="39"/>
      <c r="EC660" s="39"/>
      <c r="ED660" s="39"/>
      <c r="EE660" s="39"/>
      <c r="EF660" s="39"/>
      <c r="EG660" s="39"/>
      <c r="EH660" s="39"/>
      <c r="EI660" s="39"/>
      <c r="EJ660" s="39"/>
      <c r="EK660" s="39"/>
      <c r="EL660" s="39"/>
      <c r="EM660" s="39"/>
      <c r="EN660" s="39"/>
      <c r="EO660" s="39"/>
      <c r="EP660" s="39"/>
      <c r="EQ660" s="39"/>
      <c r="ER660" s="39"/>
      <c r="ES660" s="39"/>
      <c r="ET660" s="39"/>
      <c r="EU660" s="39"/>
      <c r="EV660" s="39"/>
      <c r="EW660" s="39"/>
      <c r="EX660" s="39"/>
      <c r="EY660" s="39"/>
      <c r="EZ660" s="39"/>
      <c r="FA660" s="39"/>
      <c r="FB660" s="39"/>
      <c r="FC660" s="39"/>
      <c r="FD660" s="39"/>
      <c r="FE660" s="39"/>
      <c r="FF660" s="39"/>
      <c r="FG660" s="39"/>
      <c r="FH660" s="39"/>
      <c r="FI660" s="39"/>
      <c r="FJ660" s="39"/>
      <c r="FK660" s="39"/>
      <c r="FL660" s="39"/>
      <c r="FM660" s="39"/>
      <c r="FN660" s="39"/>
      <c r="FO660" s="39"/>
      <c r="FP660" s="39"/>
      <c r="FQ660" s="39"/>
      <c r="FR660" s="39"/>
      <c r="FS660" s="39"/>
      <c r="FT660" s="39"/>
      <c r="FU660" s="39"/>
      <c r="FV660" s="39"/>
      <c r="FW660" s="39"/>
      <c r="FX660" s="39"/>
      <c r="FY660" s="39"/>
      <c r="FZ660" s="39"/>
      <c r="GA660" s="39"/>
      <c r="GB660" s="39"/>
      <c r="GC660" s="39"/>
      <c r="GD660" s="39"/>
      <c r="GE660" s="39"/>
      <c r="GF660" s="39"/>
      <c r="GG660" s="39"/>
      <c r="GH660" s="39"/>
      <c r="GI660" s="39"/>
      <c r="GJ660" s="39"/>
      <c r="GK660" s="39"/>
      <c r="GL660" s="39"/>
      <c r="GM660" s="39"/>
      <c r="GN660" s="39"/>
      <c r="GO660" s="39"/>
      <c r="GP660" s="39"/>
      <c r="GQ660" s="39"/>
      <c r="GR660" s="39"/>
      <c r="GS660" s="39"/>
      <c r="GT660" s="39"/>
      <c r="GU660" s="39"/>
      <c r="GV660" s="39"/>
      <c r="GW660" s="39"/>
      <c r="GX660" s="39"/>
      <c r="GY660" s="39"/>
      <c r="GZ660" s="39"/>
      <c r="HA660" s="39"/>
      <c r="HB660" s="39"/>
      <c r="HC660" s="39"/>
      <c r="HD660" s="39"/>
      <c r="HE660" s="39"/>
      <c r="HF660" s="39"/>
      <c r="HG660" s="39"/>
      <c r="HH660" s="39"/>
      <c r="HI660" s="39"/>
      <c r="HJ660" s="39"/>
      <c r="HK660" s="39"/>
      <c r="HL660" s="39"/>
      <c r="HM660" s="39"/>
      <c r="HN660" s="39"/>
      <c r="HO660" s="39"/>
      <c r="HP660" s="39"/>
      <c r="HQ660" s="39"/>
      <c r="HR660" s="39"/>
      <c r="HS660" s="39"/>
      <c r="HT660" s="39"/>
      <c r="HU660" s="39"/>
      <c r="HV660" s="39"/>
      <c r="HW660" s="39"/>
      <c r="HX660" s="39"/>
      <c r="HY660" s="39"/>
      <c r="HZ660" s="39"/>
      <c r="IA660" s="39"/>
      <c r="IB660" s="39"/>
      <c r="IC660" s="39"/>
      <c r="ID660" s="39"/>
      <c r="IE660" s="39"/>
      <c r="IF660" s="39"/>
      <c r="IG660" s="39"/>
      <c r="IH660" s="39"/>
      <c r="II660" s="39"/>
      <c r="IJ660" s="39"/>
      <c r="IK660" s="39"/>
      <c r="IL660" s="39"/>
      <c r="IM660" s="39"/>
      <c r="IN660" s="39"/>
      <c r="IO660" s="39"/>
      <c r="IP660" s="39"/>
      <c r="IQ660" s="39"/>
      <c r="IR660" s="39"/>
      <c r="IS660" s="39"/>
      <c r="IT660" s="39"/>
      <c r="IU660" s="39"/>
      <c r="IV660" s="39"/>
      <c r="IW660" s="39"/>
      <c r="IX660" s="39"/>
      <c r="IY660" s="39"/>
      <c r="IZ660" s="39"/>
      <c r="JA660" s="39"/>
      <c r="JB660" s="39"/>
      <c r="JC660" s="39"/>
      <c r="JD660" s="39"/>
      <c r="JE660" s="39"/>
      <c r="JF660" s="39"/>
      <c r="JG660" s="39"/>
    </row>
  </sheetData>
  <customSheetViews>
    <customSheetView guid="{0D143C80-1B42-417D-B6C0-C88521CF36C7}" showPageBreaks="1" printArea="1" hiddenColumns="1" view="pageBreakPreview">
      <pane xSplit="2" ySplit="5" topLeftCell="D6" activePane="bottomRight" state="frozen"/>
      <selection pane="bottomRight" activeCell="G60" sqref="G60"/>
      <rowBreaks count="1" manualBreakCount="1">
        <brk id="52" max="21" man="1"/>
      </rowBreaks>
      <pageMargins left="0" right="0" top="0.3" bottom="0.3" header="0.4" footer="0.25"/>
      <printOptions horizontalCentered="1"/>
      <pageSetup paperSize="9" scale="55" orientation="landscape" r:id="rId1"/>
      <headerFooter>
        <oddFooter>&amp;C&amp;8&amp;P of &amp;N&amp;R&amp;8as of 28Dec31</oddFooter>
      </headerFooter>
    </customSheetView>
    <customSheetView guid="{5032F846-223D-4C05-81F5-66ECC60A941D}" showPageBreaks="1" printArea="1" hiddenColumns="1" view="pageBreakPreview">
      <pane xSplit="1" ySplit="5" topLeftCell="B28" activePane="bottomRight" state="frozen"/>
      <selection pane="bottomRight" activeCell="D36" sqref="D36"/>
      <rowBreaks count="1" manualBreakCount="1">
        <brk id="51" max="19" man="1"/>
      </rowBreaks>
      <pageMargins left="0.46" right="0.2" top="0.48" bottom="0.39" header="0.4" footer="0.25"/>
      <printOptions horizontalCentered="1"/>
      <pageSetup paperSize="9" scale="55" orientation="landscape" r:id="rId2"/>
      <headerFooter>
        <oddFooter>&amp;C&amp;8&amp;P of &amp;N&amp;R&amp;8as of 28Dec31</oddFooter>
      </headerFooter>
    </customSheetView>
  </customSheetViews>
  <mergeCells count="16">
    <mergeCell ref="A4:B5"/>
    <mergeCell ref="U4:U5"/>
    <mergeCell ref="V4:V5"/>
    <mergeCell ref="J4:J5"/>
    <mergeCell ref="Q4:Q5"/>
    <mergeCell ref="P4:P5"/>
    <mergeCell ref="R4:T4"/>
    <mergeCell ref="L4:M4"/>
    <mergeCell ref="N4:N5"/>
    <mergeCell ref="E4:E5"/>
    <mergeCell ref="I4:I5"/>
    <mergeCell ref="H4:H5"/>
    <mergeCell ref="D4:D5"/>
    <mergeCell ref="C4:C5"/>
    <mergeCell ref="O4:O5"/>
    <mergeCell ref="F4:G4"/>
  </mergeCells>
  <printOptions horizontalCentered="1"/>
  <pageMargins left="0" right="0" top="0.3" bottom="0.3" header="0.4" footer="0.25"/>
  <pageSetup paperSize="9" scale="55" orientation="landscape" r:id="rId3"/>
  <headerFooter>
    <oddFooter>&amp;C&amp;8&amp;P of &amp;N&amp;R&amp;8as of 28Dec31</oddFooter>
  </headerFooter>
  <rowBreaks count="1" manualBreakCount="1">
    <brk id="52" max="21" man="1"/>
  </rowBreaks>
</worksheet>
</file>

<file path=xl/worksheets/sheet2.xml><?xml version="1.0" encoding="utf-8"?>
<worksheet xmlns="http://schemas.openxmlformats.org/spreadsheetml/2006/main" xmlns:r="http://schemas.openxmlformats.org/officeDocument/2006/relationships">
  <sheetPr>
    <tabColor rgb="FFFFFF00"/>
  </sheetPr>
  <dimension ref="A1:JG900"/>
  <sheetViews>
    <sheetView tabSelected="1" view="pageBreakPreview" zoomScaleSheetLayoutView="100" workbookViewId="0">
      <pane xSplit="2" ySplit="5" topLeftCell="C6" activePane="bottomRight" state="frozen"/>
      <selection pane="topRight" activeCell="C1" sqref="C1"/>
      <selection pane="bottomLeft" activeCell="A6" sqref="A6"/>
      <selection pane="bottomRight" activeCell="C15" sqref="C15"/>
    </sheetView>
  </sheetViews>
  <sheetFormatPr defaultColWidth="9.140625" defaultRowHeight="15.95" customHeight="1"/>
  <cols>
    <col min="1" max="1" width="4.85546875" style="905" customWidth="1"/>
    <col min="2" max="2" width="50.140625" style="194" customWidth="1"/>
    <col min="3" max="3" width="23.85546875" style="195" bestFit="1" customWidth="1"/>
    <col min="4" max="4" width="11.5703125" style="557" customWidth="1"/>
    <col min="5" max="5" width="13.28515625" style="557" customWidth="1"/>
    <col min="6" max="6" width="34.28515625" style="194" customWidth="1"/>
    <col min="7" max="7" width="7.5703125" style="194" hidden="1" customWidth="1"/>
    <col min="8" max="8" width="11.28515625" style="303" hidden="1" customWidth="1"/>
    <col min="9" max="9" width="11.7109375" style="303" bestFit="1" customWidth="1"/>
    <col min="10" max="10" width="10.140625" style="194" hidden="1" customWidth="1"/>
    <col min="11" max="11" width="11.140625" style="194" hidden="1" customWidth="1"/>
    <col min="12" max="12" width="14.140625" style="194" hidden="1" customWidth="1"/>
    <col min="13" max="13" width="16.42578125" style="194" bestFit="1" customWidth="1"/>
    <col min="14" max="14" width="11.5703125" style="194" hidden="1" customWidth="1"/>
    <col min="15" max="16" width="11.5703125" style="195" customWidth="1"/>
    <col min="17" max="17" width="15.140625" style="309" customWidth="1"/>
    <col min="18" max="18" width="15.140625" style="38" customWidth="1"/>
    <col min="19" max="19" width="33.5703125" style="38" customWidth="1"/>
    <col min="20" max="20" width="10" style="195" hidden="1" customWidth="1"/>
    <col min="21" max="21" width="19.85546875" style="905" customWidth="1"/>
    <col min="22" max="22" width="15.5703125" style="905" customWidth="1"/>
    <col min="23" max="233" width="15.7109375" style="905"/>
    <col min="234" max="234" width="53.85546875" style="905" customWidth="1"/>
    <col min="235" max="235" width="20.140625" style="905" customWidth="1"/>
    <col min="236" max="236" width="8.140625" style="905" customWidth="1"/>
    <col min="237" max="237" width="11.28515625" style="905" customWidth="1"/>
    <col min="238" max="240" width="11.140625" style="905" customWidth="1"/>
    <col min="241" max="241" width="15.7109375" style="905" customWidth="1"/>
    <col min="242" max="242" width="11.140625" style="905" customWidth="1"/>
    <col min="243" max="249" width="9.140625" style="905" hidden="1" customWidth="1"/>
    <col min="250" max="16384" width="9.140625" style="905"/>
  </cols>
  <sheetData>
    <row r="1" spans="1:21" s="178" customFormat="1" ht="15" customHeight="1">
      <c r="A1" s="174" t="s">
        <v>4524</v>
      </c>
      <c r="B1" s="174"/>
      <c r="C1" s="176"/>
      <c r="D1" s="344"/>
      <c r="E1" s="344"/>
      <c r="F1" s="175"/>
      <c r="G1" s="174"/>
      <c r="H1" s="217"/>
      <c r="I1" s="217"/>
      <c r="J1" s="174"/>
      <c r="K1" s="174"/>
      <c r="L1" s="174"/>
      <c r="M1" s="174"/>
      <c r="N1" s="174"/>
      <c r="O1" s="176"/>
      <c r="P1" s="176"/>
      <c r="Q1" s="174"/>
      <c r="R1" s="35"/>
      <c r="S1" s="35"/>
      <c r="T1" s="176"/>
    </row>
    <row r="2" spans="1:21" s="178" customFormat="1" ht="15" customHeight="1">
      <c r="A2" s="174" t="s">
        <v>0</v>
      </c>
      <c r="B2" s="174"/>
      <c r="C2" s="176"/>
      <c r="D2" s="344"/>
      <c r="E2" s="344"/>
      <c r="F2" s="175"/>
      <c r="G2" s="174"/>
      <c r="H2" s="217"/>
      <c r="I2" s="217"/>
      <c r="J2" s="174"/>
      <c r="K2" s="174"/>
      <c r="L2" s="174"/>
      <c r="M2" s="174"/>
      <c r="N2" s="174"/>
      <c r="O2" s="176"/>
      <c r="P2" s="176"/>
      <c r="Q2" s="174"/>
      <c r="R2" s="35"/>
      <c r="S2" s="35"/>
      <c r="T2" s="176"/>
    </row>
    <row r="3" spans="1:21" s="178" customFormat="1" ht="15" customHeight="1">
      <c r="B3" s="174"/>
      <c r="C3" s="176"/>
      <c r="D3" s="344"/>
      <c r="E3" s="344"/>
      <c r="F3" s="175"/>
      <c r="G3" s="174"/>
      <c r="H3" s="217"/>
      <c r="I3" s="217"/>
      <c r="J3" s="174"/>
      <c r="K3" s="174"/>
      <c r="L3" s="174"/>
      <c r="M3" s="174"/>
      <c r="N3" s="174"/>
      <c r="O3" s="176"/>
      <c r="P3" s="176"/>
      <c r="Q3" s="174"/>
      <c r="R3" s="35"/>
      <c r="S3" s="35"/>
      <c r="T3" s="176"/>
    </row>
    <row r="4" spans="1:21" ht="24.95" customHeight="1">
      <c r="A4" s="1253" t="s">
        <v>4470</v>
      </c>
      <c r="B4" s="1254"/>
      <c r="C4" s="1267" t="s">
        <v>2</v>
      </c>
      <c r="D4" s="1265" t="s">
        <v>3</v>
      </c>
      <c r="E4" s="1286" t="s">
        <v>4556</v>
      </c>
      <c r="F4" s="1287"/>
      <c r="G4" s="1266" t="s">
        <v>114</v>
      </c>
      <c r="H4" s="1258" t="s">
        <v>4</v>
      </c>
      <c r="I4" s="1276" t="s">
        <v>4477</v>
      </c>
      <c r="J4" s="1285" t="s">
        <v>145</v>
      </c>
      <c r="K4" s="1263"/>
      <c r="L4" s="1263"/>
      <c r="M4" s="1264" t="s">
        <v>90</v>
      </c>
      <c r="N4" s="1268" t="s">
        <v>5</v>
      </c>
      <c r="O4" s="1268" t="s">
        <v>4475</v>
      </c>
      <c r="P4" s="1278" t="s">
        <v>91</v>
      </c>
      <c r="Q4" s="1260" t="s">
        <v>113</v>
      </c>
      <c r="R4" s="1261"/>
      <c r="S4" s="1262"/>
      <c r="T4" s="1257" t="s">
        <v>115</v>
      </c>
      <c r="U4" s="1280" t="s">
        <v>7</v>
      </c>
    </row>
    <row r="5" spans="1:21" ht="24.95" customHeight="1">
      <c r="A5" s="1255"/>
      <c r="B5" s="1256"/>
      <c r="C5" s="1267"/>
      <c r="D5" s="1265"/>
      <c r="E5" s="1023" t="s">
        <v>4557</v>
      </c>
      <c r="F5" s="1099" t="s">
        <v>4558</v>
      </c>
      <c r="G5" s="1266"/>
      <c r="H5" s="1259"/>
      <c r="I5" s="1276"/>
      <c r="J5" s="1100" t="s">
        <v>8</v>
      </c>
      <c r="K5" s="1100" t="s">
        <v>9</v>
      </c>
      <c r="L5" s="1100" t="s">
        <v>10</v>
      </c>
      <c r="M5" s="1256"/>
      <c r="N5" s="1277"/>
      <c r="O5" s="1277"/>
      <c r="P5" s="1279"/>
      <c r="Q5" s="1106" t="s">
        <v>2818</v>
      </c>
      <c r="R5" s="1106" t="s">
        <v>148</v>
      </c>
      <c r="S5" s="1106" t="s">
        <v>149</v>
      </c>
      <c r="T5" s="1257"/>
      <c r="U5" s="1281"/>
    </row>
    <row r="6" spans="1:21" ht="15">
      <c r="B6" s="218"/>
      <c r="C6" s="218"/>
      <c r="D6" s="682"/>
      <c r="E6" s="682"/>
      <c r="F6" s="48"/>
      <c r="G6" s="48"/>
      <c r="H6" s="206"/>
      <c r="I6" s="206"/>
      <c r="J6" s="218"/>
      <c r="K6" s="218"/>
      <c r="L6" s="218"/>
      <c r="M6" s="218"/>
      <c r="N6" s="52"/>
      <c r="O6" s="52"/>
      <c r="P6" s="52"/>
      <c r="Q6" s="52"/>
      <c r="R6" s="52"/>
      <c r="S6" s="52"/>
      <c r="T6" s="52"/>
      <c r="U6" s="219"/>
    </row>
    <row r="7" spans="1:21" ht="15">
      <c r="B7" s="222" t="s">
        <v>4478</v>
      </c>
      <c r="C7" s="218"/>
      <c r="D7" s="682"/>
      <c r="E7" s="682"/>
      <c r="F7" s="48"/>
      <c r="G7" s="48"/>
      <c r="H7" s="206"/>
      <c r="I7" s="206"/>
      <c r="J7" s="218"/>
      <c r="K7" s="218"/>
      <c r="L7" s="218"/>
      <c r="M7" s="218"/>
      <c r="N7" s="52"/>
      <c r="O7" s="52"/>
      <c r="P7" s="52"/>
      <c r="Q7" s="52"/>
      <c r="R7" s="52"/>
      <c r="S7" s="52"/>
      <c r="T7" s="52"/>
      <c r="U7" s="219"/>
    </row>
    <row r="8" spans="1:21" ht="15">
      <c r="B8" s="218"/>
      <c r="C8" s="218"/>
      <c r="D8" s="682"/>
      <c r="E8" s="682"/>
      <c r="F8" s="48"/>
      <c r="G8" s="48"/>
      <c r="H8" s="206"/>
      <c r="I8" s="206"/>
      <c r="J8" s="218"/>
      <c r="K8" s="218"/>
      <c r="L8" s="218"/>
      <c r="M8" s="218"/>
      <c r="N8" s="52"/>
      <c r="O8" s="52"/>
      <c r="P8" s="52"/>
      <c r="Q8" s="52"/>
      <c r="R8" s="52"/>
      <c r="S8" s="52"/>
      <c r="T8" s="52"/>
      <c r="U8" s="219"/>
    </row>
    <row r="9" spans="1:21" ht="45.75" customHeight="1">
      <c r="A9" s="1024" t="s">
        <v>4920</v>
      </c>
      <c r="B9" s="1288" t="s">
        <v>4921</v>
      </c>
      <c r="C9" s="1288"/>
      <c r="D9" s="1288"/>
      <c r="E9" s="1288"/>
      <c r="F9" s="1288"/>
      <c r="G9" s="48"/>
      <c r="H9" s="206"/>
      <c r="I9" s="220">
        <v>1200000</v>
      </c>
      <c r="J9" s="221">
        <f>J10</f>
        <v>0</v>
      </c>
      <c r="K9" s="221">
        <f t="shared" ref="K9:M9" si="0">K10</f>
        <v>0</v>
      </c>
      <c r="L9" s="221">
        <f t="shared" si="0"/>
        <v>1200000</v>
      </c>
      <c r="M9" s="221">
        <f t="shared" si="0"/>
        <v>1200000</v>
      </c>
      <c r="N9" s="52"/>
      <c r="O9" s="52"/>
      <c r="P9" s="52"/>
      <c r="Q9" s="221">
        <f t="shared" ref="Q9:R9" si="1">Q10</f>
        <v>0</v>
      </c>
      <c r="R9" s="221">
        <f t="shared" si="1"/>
        <v>0</v>
      </c>
      <c r="S9" s="52"/>
      <c r="T9" s="52"/>
      <c r="U9" s="219"/>
    </row>
    <row r="10" spans="1:21" s="16" customFormat="1" ht="15">
      <c r="B10" s="222" t="s">
        <v>150</v>
      </c>
      <c r="C10" s="1137"/>
      <c r="D10" s="5"/>
      <c r="E10" s="5"/>
      <c r="F10" s="12"/>
      <c r="G10" s="187"/>
      <c r="H10" s="223"/>
      <c r="I10" s="223"/>
      <c r="J10" s="7">
        <f t="shared" ref="J10:M10" si="2">SUM(J11)</f>
        <v>0</v>
      </c>
      <c r="K10" s="7">
        <f t="shared" si="2"/>
        <v>0</v>
      </c>
      <c r="L10" s="7">
        <f t="shared" si="2"/>
        <v>1200000</v>
      </c>
      <c r="M10" s="7">
        <f t="shared" si="2"/>
        <v>1200000</v>
      </c>
      <c r="N10" s="68"/>
      <c r="O10" s="224"/>
      <c r="P10" s="224"/>
      <c r="Q10" s="7">
        <f t="shared" ref="Q10:R10" si="3">SUM(Q11)</f>
        <v>0</v>
      </c>
      <c r="R10" s="7">
        <f t="shared" si="3"/>
        <v>0</v>
      </c>
      <c r="S10" s="70"/>
      <c r="T10" s="8"/>
    </row>
    <row r="11" spans="1:21" s="81" customFormat="1" ht="75">
      <c r="B11" s="89" t="s">
        <v>151</v>
      </c>
      <c r="C11" s="69" t="s">
        <v>152</v>
      </c>
      <c r="D11" s="13">
        <v>41271</v>
      </c>
      <c r="E11" s="26" t="s">
        <v>5002</v>
      </c>
      <c r="F11" s="18" t="s">
        <v>486</v>
      </c>
      <c r="G11" s="18"/>
      <c r="H11" s="67"/>
      <c r="I11" s="67"/>
      <c r="J11" s="225"/>
      <c r="K11" s="13"/>
      <c r="L11" s="67">
        <v>1200000</v>
      </c>
      <c r="M11" s="186">
        <f>SUM(K11:L11)</f>
        <v>1200000</v>
      </c>
      <c r="O11" s="226" t="s">
        <v>110</v>
      </c>
      <c r="P11" s="62" t="s">
        <v>105</v>
      </c>
      <c r="Q11" s="571"/>
      <c r="R11" s="9"/>
      <c r="S11" s="9"/>
      <c r="T11" s="62" t="s">
        <v>153</v>
      </c>
      <c r="U11" s="15" t="s">
        <v>154</v>
      </c>
    </row>
    <row r="12" spans="1:21" s="81" customFormat="1" ht="15">
      <c r="B12" s="89"/>
      <c r="C12" s="69"/>
      <c r="D12" s="13"/>
      <c r="E12" s="13"/>
      <c r="F12" s="18"/>
      <c r="G12" s="18"/>
      <c r="H12" s="67"/>
      <c r="I12" s="67"/>
      <c r="J12" s="67"/>
      <c r="K12" s="67"/>
      <c r="L12" s="67"/>
      <c r="M12" s="67"/>
      <c r="O12" s="152"/>
      <c r="P12" s="62"/>
      <c r="Q12" s="571"/>
      <c r="R12" s="9"/>
      <c r="S12" s="9"/>
      <c r="T12" s="62"/>
      <c r="U12" s="15"/>
    </row>
    <row r="13" spans="1:21" s="81" customFormat="1" ht="15">
      <c r="A13" s="1024" t="s">
        <v>4922</v>
      </c>
      <c r="B13" s="881" t="s">
        <v>58</v>
      </c>
      <c r="C13" s="69"/>
      <c r="D13" s="13"/>
      <c r="E13" s="13"/>
      <c r="F13" s="18"/>
      <c r="G13" s="18"/>
      <c r="H13" s="67"/>
      <c r="I13" s="93">
        <v>2775240</v>
      </c>
      <c r="J13" s="7">
        <f t="shared" ref="J13" si="4">SUM(J14)</f>
        <v>0</v>
      </c>
      <c r="K13" s="7">
        <f t="shared" ref="K13:M13" si="5">SUM(K14)</f>
        <v>0</v>
      </c>
      <c r="L13" s="7">
        <f t="shared" si="5"/>
        <v>2686845.983</v>
      </c>
      <c r="M13" s="7">
        <f t="shared" si="5"/>
        <v>2686845.983</v>
      </c>
      <c r="O13" s="152"/>
      <c r="P13" s="62"/>
      <c r="Q13" s="7">
        <f t="shared" ref="Q13:R13" si="6">SUM(Q14)</f>
        <v>0</v>
      </c>
      <c r="R13" s="7">
        <f t="shared" si="6"/>
        <v>0</v>
      </c>
      <c r="S13" s="9"/>
      <c r="T13" s="62"/>
      <c r="U13" s="15"/>
    </row>
    <row r="14" spans="1:21" s="16" customFormat="1" ht="15">
      <c r="B14" s="222" t="s">
        <v>150</v>
      </c>
      <c r="C14" s="1137"/>
      <c r="D14" s="5"/>
      <c r="E14" s="5"/>
      <c r="F14" s="12"/>
      <c r="G14" s="187"/>
      <c r="H14" s="223"/>
      <c r="I14" s="223"/>
      <c r="J14" s="7">
        <f>SUM(J15:J18)</f>
        <v>0</v>
      </c>
      <c r="K14" s="7">
        <f>SUM(K15:K18)</f>
        <v>0</v>
      </c>
      <c r="L14" s="7">
        <f>SUM(L15:L18)</f>
        <v>2686845.983</v>
      </c>
      <c r="M14" s="7">
        <f>SUM(M15:M18)</f>
        <v>2686845.983</v>
      </c>
      <c r="N14" s="68"/>
      <c r="O14" s="224"/>
      <c r="P14" s="179"/>
      <c r="Q14" s="7">
        <f t="shared" ref="Q14:R14" si="7">SUM(Q15:Q18)</f>
        <v>0</v>
      </c>
      <c r="R14" s="7">
        <f t="shared" si="7"/>
        <v>0</v>
      </c>
      <c r="S14" s="70"/>
      <c r="T14" s="8"/>
    </row>
    <row r="15" spans="1:21" s="81" customFormat="1" ht="60">
      <c r="B15" s="89" t="s">
        <v>155</v>
      </c>
      <c r="C15" s="69" t="s">
        <v>156</v>
      </c>
      <c r="D15" s="13">
        <v>41271</v>
      </c>
      <c r="E15" s="26" t="s">
        <v>5002</v>
      </c>
      <c r="F15" s="18" t="s">
        <v>486</v>
      </c>
      <c r="G15" s="18"/>
      <c r="H15" s="67"/>
      <c r="I15" s="67"/>
      <c r="J15" s="13"/>
      <c r="K15" s="13"/>
      <c r="L15" s="67">
        <v>2412800</v>
      </c>
      <c r="M15" s="186">
        <f>SUM(K15:L15)</f>
        <v>2412800</v>
      </c>
      <c r="O15" s="226" t="s">
        <v>110</v>
      </c>
      <c r="P15" s="62" t="s">
        <v>105</v>
      </c>
      <c r="Q15" s="571"/>
      <c r="R15" s="9"/>
      <c r="S15" s="393" t="s">
        <v>4544</v>
      </c>
      <c r="T15" s="62" t="s">
        <v>153</v>
      </c>
      <c r="U15" s="15" t="s">
        <v>154</v>
      </c>
    </row>
    <row r="16" spans="1:21" s="81" customFormat="1" ht="30">
      <c r="B16" s="91" t="s">
        <v>235</v>
      </c>
      <c r="C16" s="69" t="s">
        <v>248</v>
      </c>
      <c r="D16" s="419">
        <v>41337</v>
      </c>
      <c r="E16" s="26" t="s">
        <v>5002</v>
      </c>
      <c r="F16" s="18" t="s">
        <v>486</v>
      </c>
      <c r="G16" s="18"/>
      <c r="H16" s="67"/>
      <c r="I16" s="67"/>
      <c r="J16" s="67"/>
      <c r="K16" s="13"/>
      <c r="L16" s="67">
        <v>96067.5</v>
      </c>
      <c r="M16" s="67">
        <f t="shared" ref="M16:M17" si="8">SUM(J16:L16)</f>
        <v>96067.5</v>
      </c>
      <c r="O16" s="226" t="s">
        <v>110</v>
      </c>
      <c r="P16" s="62" t="s">
        <v>105</v>
      </c>
      <c r="Q16" s="571"/>
      <c r="R16" s="9"/>
      <c r="S16" s="9"/>
      <c r="T16" s="62" t="s">
        <v>153</v>
      </c>
      <c r="U16" s="15" t="s">
        <v>237</v>
      </c>
    </row>
    <row r="17" spans="1:21" s="81" customFormat="1" ht="60">
      <c r="B17" s="91" t="s">
        <v>235</v>
      </c>
      <c r="C17" s="69" t="s">
        <v>266</v>
      </c>
      <c r="D17" s="419">
        <v>41359</v>
      </c>
      <c r="E17" s="26" t="s">
        <v>5002</v>
      </c>
      <c r="F17" s="18" t="s">
        <v>486</v>
      </c>
      <c r="G17" s="18"/>
      <c r="H17" s="67"/>
      <c r="I17" s="67"/>
      <c r="J17" s="13"/>
      <c r="K17" s="13"/>
      <c r="L17" s="67">
        <v>177978.48300000001</v>
      </c>
      <c r="M17" s="67">
        <f t="shared" si="8"/>
        <v>177978.48300000001</v>
      </c>
      <c r="O17" s="226" t="s">
        <v>110</v>
      </c>
      <c r="P17" s="62" t="s">
        <v>105</v>
      </c>
      <c r="Q17" s="571"/>
      <c r="R17" s="9"/>
      <c r="S17" s="872" t="s">
        <v>4547</v>
      </c>
      <c r="T17" s="62" t="s">
        <v>153</v>
      </c>
      <c r="U17" s="15" t="s">
        <v>237</v>
      </c>
    </row>
    <row r="18" spans="1:21" s="81" customFormat="1" ht="15">
      <c r="B18" s="89"/>
      <c r="C18" s="69"/>
      <c r="D18" s="13"/>
      <c r="E18" s="13"/>
      <c r="F18" s="18"/>
      <c r="G18" s="18"/>
      <c r="H18" s="67"/>
      <c r="I18" s="67"/>
      <c r="J18" s="13"/>
      <c r="K18" s="13"/>
      <c r="L18" s="67"/>
      <c r="M18" s="67"/>
      <c r="O18" s="152"/>
      <c r="P18" s="62"/>
      <c r="Q18" s="571"/>
      <c r="R18" s="9"/>
      <c r="S18" s="9"/>
      <c r="T18" s="62"/>
      <c r="U18" s="15"/>
    </row>
    <row r="19" spans="1:21" s="81" customFormat="1" ht="30" customHeight="1">
      <c r="A19" s="1024" t="s">
        <v>4924</v>
      </c>
      <c r="B19" s="1119" t="s">
        <v>4923</v>
      </c>
      <c r="C19" s="69"/>
      <c r="D19" s="13"/>
      <c r="E19" s="13"/>
      <c r="F19" s="18"/>
      <c r="G19" s="18"/>
      <c r="H19" s="67"/>
      <c r="I19" s="109">
        <v>253000</v>
      </c>
      <c r="J19" s="221">
        <f t="shared" ref="J19" si="9">SUM(J20)</f>
        <v>0</v>
      </c>
      <c r="K19" s="221">
        <f t="shared" ref="K19:M20" si="10">SUM(K20)</f>
        <v>253000</v>
      </c>
      <c r="L19" s="221">
        <f t="shared" si="10"/>
        <v>0</v>
      </c>
      <c r="M19" s="221">
        <f t="shared" si="10"/>
        <v>253000</v>
      </c>
      <c r="O19" s="152"/>
      <c r="P19" s="62"/>
      <c r="Q19" s="221">
        <f t="shared" ref="Q19:R20" si="11">SUM(Q20)</f>
        <v>253000</v>
      </c>
      <c r="R19" s="221">
        <f t="shared" si="11"/>
        <v>224255</v>
      </c>
      <c r="S19" s="9"/>
      <c r="T19" s="62"/>
      <c r="U19" s="15"/>
    </row>
    <row r="20" spans="1:21" s="81" customFormat="1" ht="15">
      <c r="B20" s="222" t="s">
        <v>157</v>
      </c>
      <c r="C20" s="69"/>
      <c r="D20" s="13"/>
      <c r="E20" s="13"/>
      <c r="F20" s="18"/>
      <c r="G20" s="18"/>
      <c r="H20" s="67"/>
      <c r="I20" s="67"/>
      <c r="J20" s="7">
        <f>SUM(J21)</f>
        <v>0</v>
      </c>
      <c r="K20" s="7">
        <f t="shared" si="10"/>
        <v>253000</v>
      </c>
      <c r="L20" s="7">
        <f t="shared" si="10"/>
        <v>0</v>
      </c>
      <c r="M20" s="7">
        <f t="shared" si="10"/>
        <v>253000</v>
      </c>
      <c r="O20" s="152"/>
      <c r="P20" s="62"/>
      <c r="Q20" s="7">
        <f t="shared" si="11"/>
        <v>253000</v>
      </c>
      <c r="R20" s="7">
        <f t="shared" si="11"/>
        <v>224255</v>
      </c>
      <c r="S20" s="9"/>
      <c r="T20" s="62"/>
      <c r="U20" s="15"/>
    </row>
    <row r="21" spans="1:21" s="16" customFormat="1" ht="75">
      <c r="B21" s="227" t="s">
        <v>158</v>
      </c>
      <c r="C21" s="182" t="s">
        <v>159</v>
      </c>
      <c r="D21" s="419">
        <v>41270</v>
      </c>
      <c r="E21" s="419" t="s">
        <v>5727</v>
      </c>
      <c r="F21" s="98" t="s">
        <v>5726</v>
      </c>
      <c r="G21" s="228"/>
      <c r="H21" s="67">
        <v>753700</v>
      </c>
      <c r="I21" s="67"/>
      <c r="J21" s="229"/>
      <c r="K21" s="186">
        <v>253000</v>
      </c>
      <c r="L21" s="14"/>
      <c r="M21" s="186">
        <f>SUM(K21:L21)</f>
        <v>253000</v>
      </c>
      <c r="N21" s="14">
        <f>M21+H21</f>
        <v>1006700</v>
      </c>
      <c r="O21" s="226" t="s">
        <v>110</v>
      </c>
      <c r="P21" s="62" t="s">
        <v>105</v>
      </c>
      <c r="Q21" s="187">
        <v>253000</v>
      </c>
      <c r="R21" s="187">
        <v>224255</v>
      </c>
      <c r="S21" s="393" t="s">
        <v>4816</v>
      </c>
      <c r="T21" s="230" t="s">
        <v>153</v>
      </c>
      <c r="U21" s="14" t="s">
        <v>160</v>
      </c>
    </row>
    <row r="22" spans="1:21" s="16" customFormat="1" ht="15">
      <c r="B22" s="227"/>
      <c r="C22" s="182"/>
      <c r="D22" s="419"/>
      <c r="E22" s="419"/>
      <c r="F22" s="181"/>
      <c r="G22" s="228"/>
      <c r="H22" s="67"/>
      <c r="I22" s="67"/>
      <c r="J22" s="67"/>
      <c r="K22" s="67"/>
      <c r="L22" s="67"/>
      <c r="M22" s="67"/>
      <c r="N22" s="14"/>
      <c r="O22" s="1137"/>
      <c r="P22" s="1137"/>
      <c r="Q22" s="187"/>
      <c r="R22" s="187"/>
      <c r="S22" s="187"/>
      <c r="T22" s="230"/>
      <c r="U22" s="14"/>
    </row>
    <row r="23" spans="1:21" s="16" customFormat="1" ht="15">
      <c r="A23" s="1024" t="s">
        <v>4925</v>
      </c>
      <c r="B23" s="222" t="s">
        <v>163</v>
      </c>
      <c r="C23" s="182"/>
      <c r="D23" s="419"/>
      <c r="E23" s="419"/>
      <c r="F23" s="181"/>
      <c r="G23" s="228"/>
      <c r="H23" s="67"/>
      <c r="I23" s="109">
        <v>60000</v>
      </c>
      <c r="J23" s="221">
        <f>SUM(J24)</f>
        <v>0</v>
      </c>
      <c r="K23" s="221">
        <f t="shared" ref="K23:M23" si="12">SUM(K24)</f>
        <v>50472</v>
      </c>
      <c r="L23" s="221">
        <f t="shared" si="12"/>
        <v>9528</v>
      </c>
      <c r="M23" s="221">
        <f t="shared" si="12"/>
        <v>60000</v>
      </c>
      <c r="N23" s="14"/>
      <c r="O23" s="1137"/>
      <c r="P23" s="1137"/>
      <c r="Q23" s="221">
        <f t="shared" ref="Q23:R23" si="13">SUM(Q24)</f>
        <v>58079.425000000003</v>
      </c>
      <c r="R23" s="221">
        <f t="shared" si="13"/>
        <v>6495.9179999999997</v>
      </c>
      <c r="S23" s="187"/>
      <c r="T23" s="230"/>
      <c r="U23" s="14"/>
    </row>
    <row r="24" spans="1:21" s="231" customFormat="1" ht="15">
      <c r="B24" s="222" t="s">
        <v>161</v>
      </c>
      <c r="E24" s="235"/>
      <c r="G24" s="228"/>
      <c r="H24" s="233"/>
      <c r="I24" s="233"/>
      <c r="J24" s="234">
        <f>SUM(J25:J25)</f>
        <v>0</v>
      </c>
      <c r="K24" s="234">
        <f>SUM(K25:K25)</f>
        <v>50472</v>
      </c>
      <c r="L24" s="234">
        <f>SUM(L25:L25)</f>
        <v>9528</v>
      </c>
      <c r="M24" s="234">
        <f>SUM(M25:M25)</f>
        <v>60000</v>
      </c>
      <c r="N24" s="233"/>
      <c r="O24" s="226"/>
      <c r="P24" s="62"/>
      <c r="Q24" s="234">
        <f t="shared" ref="Q24:R24" si="14">SUM(Q25:Q25)</f>
        <v>58079.425000000003</v>
      </c>
      <c r="R24" s="234">
        <f t="shared" si="14"/>
        <v>6495.9179999999997</v>
      </c>
      <c r="S24" s="238"/>
      <c r="T24" s="235"/>
    </row>
    <row r="25" spans="1:21" s="231" customFormat="1" ht="134.25" customHeight="1">
      <c r="B25" s="185" t="s">
        <v>163</v>
      </c>
      <c r="C25" s="182" t="s">
        <v>162</v>
      </c>
      <c r="D25" s="419">
        <v>41271</v>
      </c>
      <c r="E25" s="419" t="s">
        <v>4992</v>
      </c>
      <c r="F25" s="98" t="s">
        <v>5728</v>
      </c>
      <c r="G25" s="97"/>
      <c r="H25" s="186">
        <v>739987</v>
      </c>
      <c r="I25" s="186"/>
      <c r="J25" s="14"/>
      <c r="K25" s="186">
        <v>50472</v>
      </c>
      <c r="L25" s="186">
        <v>9528</v>
      </c>
      <c r="M25" s="14">
        <f>SUM(K25:L25)</f>
        <v>60000</v>
      </c>
      <c r="N25" s="10">
        <f>M25+H25</f>
        <v>799987</v>
      </c>
      <c r="O25" s="226" t="s">
        <v>110</v>
      </c>
      <c r="P25" s="62" t="s">
        <v>105</v>
      </c>
      <c r="Q25" s="6">
        <v>58079.425000000003</v>
      </c>
      <c r="R25" s="6">
        <v>6495.9179999999997</v>
      </c>
      <c r="S25" s="1075" t="s">
        <v>6229</v>
      </c>
      <c r="T25" s="235" t="s">
        <v>153</v>
      </c>
      <c r="U25" s="360" t="s">
        <v>164</v>
      </c>
    </row>
    <row r="26" spans="1:21" s="231" customFormat="1" ht="15">
      <c r="B26" s="192"/>
      <c r="C26" s="235"/>
      <c r="D26" s="459"/>
      <c r="E26" s="387"/>
      <c r="F26" s="181"/>
      <c r="G26" s="228"/>
      <c r="H26" s="233"/>
      <c r="I26" s="233"/>
      <c r="J26" s="236"/>
      <c r="K26" s="233"/>
      <c r="L26" s="233"/>
      <c r="M26" s="236"/>
      <c r="N26" s="10"/>
      <c r="O26" s="1136"/>
      <c r="P26" s="235"/>
      <c r="Q26" s="6"/>
      <c r="R26" s="6"/>
      <c r="S26" s="6"/>
      <c r="T26" s="235"/>
      <c r="U26" s="237"/>
    </row>
    <row r="27" spans="1:21" s="231" customFormat="1" ht="15">
      <c r="A27" s="1024" t="s">
        <v>4926</v>
      </c>
      <c r="B27" s="881" t="s">
        <v>28</v>
      </c>
      <c r="C27" s="235"/>
      <c r="D27" s="459"/>
      <c r="E27" s="387"/>
      <c r="F27" s="181"/>
      <c r="G27" s="228"/>
      <c r="H27" s="233"/>
      <c r="I27" s="238">
        <v>2790000</v>
      </c>
      <c r="J27" s="234">
        <f>J28+J31+J35+J58+J71+J79+J118+J132+J146+J222</f>
        <v>0</v>
      </c>
      <c r="K27" s="234">
        <f>K28+K31+K35+K58+K71+K79+K118+K132+K146+K222</f>
        <v>575453.94099999999</v>
      </c>
      <c r="L27" s="234">
        <f>L28+L31+L35+L58+L71+L79+L118+L132+L146+L222</f>
        <v>2182484.75</v>
      </c>
      <c r="M27" s="234">
        <f>M28+M31+M35+M58+M71+M79+M118+M132+M146+M222</f>
        <v>2757938.6910000001</v>
      </c>
      <c r="N27" s="10"/>
      <c r="O27" s="1136"/>
      <c r="P27" s="235"/>
      <c r="Q27" s="234">
        <f t="shared" ref="Q27:R27" si="15">Q28+Q31+Q35+Q58+Q71+Q79+Q118+Q132+Q146+Q222</f>
        <v>448278</v>
      </c>
      <c r="R27" s="234">
        <f t="shared" si="15"/>
        <v>443866.32</v>
      </c>
      <c r="S27" s="6"/>
      <c r="T27" s="235"/>
      <c r="U27" s="237"/>
    </row>
    <row r="28" spans="1:21" s="81" customFormat="1" ht="15">
      <c r="B28" s="239" t="s">
        <v>165</v>
      </c>
      <c r="C28" s="152"/>
      <c r="D28" s="681"/>
      <c r="E28" s="878"/>
      <c r="F28" s="240"/>
      <c r="G28" s="241"/>
      <c r="H28" s="74"/>
      <c r="I28" s="74"/>
      <c r="J28" s="234">
        <f>SUM(J29:J29)</f>
        <v>0</v>
      </c>
      <c r="K28" s="234">
        <f>SUM(K29:K29)</f>
        <v>4700</v>
      </c>
      <c r="L28" s="234">
        <f>SUM(L29:L29)</f>
        <v>0</v>
      </c>
      <c r="M28" s="234">
        <f>SUM(M29:M29)</f>
        <v>4700</v>
      </c>
      <c r="N28" s="74"/>
      <c r="O28" s="154"/>
      <c r="P28" s="152"/>
      <c r="Q28" s="234">
        <f t="shared" ref="Q28:R28" si="16">SUM(Q29:Q29)</f>
        <v>0</v>
      </c>
      <c r="R28" s="234">
        <f t="shared" si="16"/>
        <v>0</v>
      </c>
      <c r="S28" s="357"/>
      <c r="T28" s="152"/>
    </row>
    <row r="29" spans="1:21" s="30" customFormat="1" ht="15">
      <c r="B29" s="1101" t="s">
        <v>28</v>
      </c>
      <c r="C29" s="232"/>
      <c r="D29" s="684"/>
      <c r="E29" s="684"/>
      <c r="F29" s="181"/>
      <c r="G29" s="181"/>
      <c r="H29" s="233"/>
      <c r="I29" s="233"/>
      <c r="J29" s="234">
        <f>J30</f>
        <v>0</v>
      </c>
      <c r="K29" s="234">
        <f>K30</f>
        <v>4700</v>
      </c>
      <c r="L29" s="234">
        <f>L30</f>
        <v>0</v>
      </c>
      <c r="M29" s="234">
        <f>M30</f>
        <v>4700</v>
      </c>
      <c r="N29" s="233"/>
      <c r="O29" s="242"/>
      <c r="P29" s="43"/>
      <c r="Q29" s="234">
        <f t="shared" ref="Q29:R29" si="17">Q30</f>
        <v>0</v>
      </c>
      <c r="R29" s="234">
        <f t="shared" si="17"/>
        <v>0</v>
      </c>
      <c r="S29" s="238"/>
      <c r="T29" s="43"/>
    </row>
    <row r="30" spans="1:21" s="30" customFormat="1" ht="34.5" customHeight="1">
      <c r="B30" s="227" t="s">
        <v>166</v>
      </c>
      <c r="C30" s="182" t="s">
        <v>167</v>
      </c>
      <c r="D30" s="419">
        <v>41334</v>
      </c>
      <c r="E30" s="419" t="s">
        <v>5165</v>
      </c>
      <c r="F30" s="103" t="s">
        <v>1166</v>
      </c>
      <c r="G30" s="185"/>
      <c r="H30" s="186">
        <v>239908</v>
      </c>
      <c r="I30" s="186"/>
      <c r="J30" s="186"/>
      <c r="K30" s="186">
        <v>4700</v>
      </c>
      <c r="L30" s="186"/>
      <c r="M30" s="186">
        <f>SUM(J30:L30)</f>
        <v>4700</v>
      </c>
      <c r="N30" s="186">
        <f>H30+M30</f>
        <v>244608</v>
      </c>
      <c r="O30" s="226" t="s">
        <v>110</v>
      </c>
      <c r="P30" s="62" t="s">
        <v>105</v>
      </c>
      <c r="Q30" s="184"/>
      <c r="R30" s="184"/>
      <c r="S30" s="184"/>
      <c r="T30" s="62" t="s">
        <v>153</v>
      </c>
      <c r="U30" s="31" t="s">
        <v>168</v>
      </c>
    </row>
    <row r="31" spans="1:21" s="3" customFormat="1" ht="15">
      <c r="B31" s="187" t="s">
        <v>169</v>
      </c>
      <c r="C31" s="232"/>
      <c r="D31" s="684"/>
      <c r="E31" s="684"/>
      <c r="F31" s="181"/>
      <c r="G31" s="181"/>
      <c r="H31" s="243"/>
      <c r="I31" s="243"/>
      <c r="J31" s="234">
        <f>SUM(J32:J33)</f>
        <v>0</v>
      </c>
      <c r="K31" s="234">
        <f t="shared" ref="K31:M31" si="18">SUM(K32:K33)</f>
        <v>700</v>
      </c>
      <c r="L31" s="234">
        <f t="shared" si="18"/>
        <v>29550</v>
      </c>
      <c r="M31" s="234">
        <f t="shared" si="18"/>
        <v>30250</v>
      </c>
      <c r="N31" s="184"/>
      <c r="O31" s="244"/>
      <c r="P31" s="46"/>
      <c r="Q31" s="234">
        <f t="shared" ref="Q31:R31" si="19">SUM(Q32:Q33)</f>
        <v>0</v>
      </c>
      <c r="R31" s="234">
        <f t="shared" si="19"/>
        <v>0</v>
      </c>
      <c r="S31" s="184"/>
      <c r="T31" s="117"/>
    </row>
    <row r="32" spans="1:21" s="3" customFormat="1" ht="30">
      <c r="B32" s="227" t="s">
        <v>170</v>
      </c>
      <c r="C32" s="232" t="s">
        <v>171</v>
      </c>
      <c r="D32" s="684">
        <v>41313</v>
      </c>
      <c r="E32" s="684" t="s">
        <v>5730</v>
      </c>
      <c r="F32" s="181" t="s">
        <v>5729</v>
      </c>
      <c r="G32" s="245"/>
      <c r="H32" s="99">
        <v>7794945</v>
      </c>
      <c r="I32" s="99"/>
      <c r="J32" s="246"/>
      <c r="K32" s="233"/>
      <c r="L32" s="233">
        <v>29550</v>
      </c>
      <c r="M32" s="233">
        <f>SUM(J32:L32)</f>
        <v>29550</v>
      </c>
      <c r="N32" s="1025">
        <f t="shared" ref="N32:N33" si="20">M32+H32</f>
        <v>7824495</v>
      </c>
      <c r="O32" s="226" t="s">
        <v>110</v>
      </c>
      <c r="P32" s="62" t="s">
        <v>105</v>
      </c>
      <c r="Q32" s="1025"/>
      <c r="R32" s="475"/>
      <c r="S32" s="475"/>
      <c r="T32" s="62" t="s">
        <v>153</v>
      </c>
      <c r="U32" s="12" t="s">
        <v>172</v>
      </c>
    </row>
    <row r="33" spans="2:22" s="3" customFormat="1" ht="47.25" customHeight="1">
      <c r="B33" s="227" t="s">
        <v>173</v>
      </c>
      <c r="C33" s="182" t="s">
        <v>174</v>
      </c>
      <c r="D33" s="419">
        <v>41358</v>
      </c>
      <c r="E33" s="182" t="s">
        <v>4963</v>
      </c>
      <c r="F33" s="181" t="s">
        <v>6566</v>
      </c>
      <c r="G33" s="245"/>
      <c r="H33" s="99">
        <v>291428</v>
      </c>
      <c r="I33" s="99"/>
      <c r="J33" s="246"/>
      <c r="K33" s="186">
        <v>700</v>
      </c>
      <c r="L33" s="186"/>
      <c r="M33" s="186">
        <f>SUM(J33:L33)</f>
        <v>700</v>
      </c>
      <c r="N33" s="1025">
        <f t="shared" si="20"/>
        <v>292128</v>
      </c>
      <c r="O33" s="226" t="s">
        <v>110</v>
      </c>
      <c r="P33" s="62" t="s">
        <v>105</v>
      </c>
      <c r="Q33" s="1025"/>
      <c r="R33" s="475"/>
      <c r="S33" s="475"/>
      <c r="T33" s="62" t="s">
        <v>153</v>
      </c>
      <c r="U33" s="12" t="s">
        <v>175</v>
      </c>
    </row>
    <row r="34" spans="2:22" s="3" customFormat="1" ht="15">
      <c r="B34" s="227"/>
      <c r="C34" s="182"/>
      <c r="D34" s="419"/>
      <c r="E34" s="419"/>
      <c r="F34" s="181"/>
      <c r="G34" s="245"/>
      <c r="H34" s="99"/>
      <c r="I34" s="99"/>
      <c r="J34" s="246"/>
      <c r="K34" s="186"/>
      <c r="L34" s="186"/>
      <c r="M34" s="186"/>
      <c r="N34" s="1025"/>
      <c r="O34" s="1026"/>
      <c r="P34" s="1138"/>
      <c r="Q34" s="1025"/>
      <c r="R34" s="475"/>
      <c r="S34" s="475"/>
      <c r="T34" s="62"/>
      <c r="U34" s="12"/>
    </row>
    <row r="35" spans="2:22" s="3" customFormat="1" ht="15">
      <c r="B35" s="187" t="s">
        <v>176</v>
      </c>
      <c r="C35" s="182"/>
      <c r="D35" s="419"/>
      <c r="E35" s="419"/>
      <c r="F35" s="181"/>
      <c r="G35" s="245"/>
      <c r="H35" s="99"/>
      <c r="I35" s="99"/>
      <c r="J35" s="247">
        <f>J36+J39+J42+J45+J48+J54</f>
        <v>0</v>
      </c>
      <c r="K35" s="247">
        <f t="shared" ref="K35:M35" si="21">K36+K39+K42+K45+K48+K54</f>
        <v>25002.940999999999</v>
      </c>
      <c r="L35" s="247">
        <f t="shared" si="21"/>
        <v>0</v>
      </c>
      <c r="M35" s="247">
        <f t="shared" si="21"/>
        <v>25002.940999999999</v>
      </c>
      <c r="N35" s="1025"/>
      <c r="O35" s="1026"/>
      <c r="P35" s="1138"/>
      <c r="Q35" s="247">
        <f t="shared" ref="Q35:R35" si="22">Q36+Q39+Q42+Q45+Q48+Q54</f>
        <v>6017</v>
      </c>
      <c r="R35" s="247">
        <f t="shared" si="22"/>
        <v>6017</v>
      </c>
      <c r="S35" s="475"/>
      <c r="T35" s="62"/>
      <c r="U35" s="12"/>
    </row>
    <row r="36" spans="2:22" s="3" customFormat="1" ht="15" customHeight="1">
      <c r="B36" s="248" t="s">
        <v>177</v>
      </c>
      <c r="C36" s="182"/>
      <c r="D36" s="419"/>
      <c r="E36" s="419"/>
      <c r="F36" s="181"/>
      <c r="G36" s="245"/>
      <c r="H36" s="99"/>
      <c r="I36" s="99"/>
      <c r="J36" s="479">
        <f t="shared" ref="J36" si="23">J37</f>
        <v>0</v>
      </c>
      <c r="K36" s="479">
        <f>K37</f>
        <v>6000</v>
      </c>
      <c r="L36" s="479">
        <f t="shared" ref="L36:M36" si="24">L37</f>
        <v>0</v>
      </c>
      <c r="M36" s="479">
        <f t="shared" si="24"/>
        <v>6000</v>
      </c>
      <c r="N36" s="1025"/>
      <c r="O36" s="1026"/>
      <c r="P36" s="1138"/>
      <c r="Q36" s="479">
        <f t="shared" ref="Q36:R36" si="25">Q37</f>
        <v>6000</v>
      </c>
      <c r="R36" s="479">
        <f t="shared" si="25"/>
        <v>6000</v>
      </c>
      <c r="S36" s="475"/>
      <c r="T36" s="62"/>
      <c r="U36" s="12"/>
    </row>
    <row r="37" spans="2:22" s="30" customFormat="1" ht="30">
      <c r="B37" s="249" t="s">
        <v>22</v>
      </c>
      <c r="C37" s="252" t="s">
        <v>178</v>
      </c>
      <c r="D37" s="621">
        <v>41341</v>
      </c>
      <c r="E37" s="621" t="s">
        <v>2878</v>
      </c>
      <c r="F37" s="250" t="s">
        <v>1436</v>
      </c>
      <c r="G37" s="251"/>
      <c r="H37" s="519">
        <v>115257</v>
      </c>
      <c r="I37" s="519"/>
      <c r="J37" s="253"/>
      <c r="K37" s="253">
        <v>6000</v>
      </c>
      <c r="L37" s="253"/>
      <c r="M37" s="253">
        <f t="shared" ref="M37" si="26">SUM(J37:L37)</f>
        <v>6000</v>
      </c>
      <c r="N37" s="675">
        <f>M37+H37</f>
        <v>121257</v>
      </c>
      <c r="O37" s="226" t="s">
        <v>110</v>
      </c>
      <c r="P37" s="62" t="s">
        <v>105</v>
      </c>
      <c r="Q37" s="675">
        <v>6000</v>
      </c>
      <c r="R37" s="675">
        <v>6000</v>
      </c>
      <c r="S37" s="675">
        <v>2298</v>
      </c>
      <c r="T37" s="32" t="s">
        <v>153</v>
      </c>
      <c r="U37" s="118" t="s">
        <v>179</v>
      </c>
      <c r="V37" s="118"/>
    </row>
    <row r="38" spans="2:22" s="30" customFormat="1" ht="15">
      <c r="B38" s="249"/>
      <c r="C38" s="252"/>
      <c r="D38" s="621"/>
      <c r="E38" s="621"/>
      <c r="F38" s="250"/>
      <c r="G38" s="251"/>
      <c r="H38" s="519"/>
      <c r="I38" s="519"/>
      <c r="J38" s="253"/>
      <c r="K38" s="253"/>
      <c r="L38" s="253"/>
      <c r="M38" s="253"/>
      <c r="N38" s="675"/>
      <c r="O38" s="821"/>
      <c r="P38" s="151"/>
      <c r="Q38" s="675"/>
      <c r="R38" s="675"/>
      <c r="S38" s="675"/>
      <c r="T38" s="32"/>
      <c r="U38" s="118"/>
      <c r="V38" s="118"/>
    </row>
    <row r="39" spans="2:22" s="30" customFormat="1" ht="15">
      <c r="B39" s="248" t="s">
        <v>180</v>
      </c>
      <c r="C39" s="252"/>
      <c r="D39" s="621"/>
      <c r="E39" s="621"/>
      <c r="F39" s="250"/>
      <c r="G39" s="251"/>
      <c r="H39" s="519"/>
      <c r="I39" s="519"/>
      <c r="J39" s="479">
        <f t="shared" ref="J39" si="27">J40</f>
        <v>0</v>
      </c>
      <c r="K39" s="479">
        <f>K40</f>
        <v>7830.741</v>
      </c>
      <c r="L39" s="479">
        <f t="shared" ref="L39:M39" si="28">L40</f>
        <v>0</v>
      </c>
      <c r="M39" s="479">
        <f t="shared" si="28"/>
        <v>7830.741</v>
      </c>
      <c r="N39" s="675"/>
      <c r="O39" s="821"/>
      <c r="P39" s="151"/>
      <c r="Q39" s="479">
        <f t="shared" ref="Q39:R39" si="29">Q40</f>
        <v>0</v>
      </c>
      <c r="R39" s="479">
        <f t="shared" si="29"/>
        <v>0</v>
      </c>
      <c r="S39" s="675"/>
      <c r="T39" s="32"/>
      <c r="U39" s="118"/>
      <c r="V39" s="118"/>
    </row>
    <row r="40" spans="2:22" s="30" customFormat="1" ht="30">
      <c r="B40" s="254" t="s">
        <v>181</v>
      </c>
      <c r="C40" s="252" t="s">
        <v>182</v>
      </c>
      <c r="D40" s="621">
        <v>41334</v>
      </c>
      <c r="E40" s="621" t="s">
        <v>4992</v>
      </c>
      <c r="F40" s="250" t="s">
        <v>5731</v>
      </c>
      <c r="G40" s="251"/>
      <c r="H40" s="1027"/>
      <c r="I40" s="1027"/>
      <c r="J40" s="255"/>
      <c r="K40" s="253">
        <v>7830.741</v>
      </c>
      <c r="L40" s="255"/>
      <c r="M40" s="253">
        <f t="shared" ref="M40" si="30">SUM(J40:L40)</f>
        <v>7830.741</v>
      </c>
      <c r="N40" s="1028"/>
      <c r="O40" s="226" t="s">
        <v>110</v>
      </c>
      <c r="P40" s="62" t="s">
        <v>105</v>
      </c>
      <c r="Q40" s="1029"/>
      <c r="R40" s="726"/>
      <c r="S40" s="726"/>
      <c r="T40" s="1030" t="s">
        <v>153</v>
      </c>
      <c r="U40" s="118" t="s">
        <v>183</v>
      </c>
      <c r="V40" s="118"/>
    </row>
    <row r="41" spans="2:22" s="30" customFormat="1" ht="15">
      <c r="B41" s="249"/>
      <c r="C41" s="252"/>
      <c r="D41" s="621"/>
      <c r="E41" s="621"/>
      <c r="F41" s="250"/>
      <c r="G41" s="251"/>
      <c r="H41" s="519"/>
      <c r="I41" s="519"/>
      <c r="J41" s="253"/>
      <c r="K41" s="253"/>
      <c r="L41" s="253"/>
      <c r="M41" s="253"/>
      <c r="N41" s="675"/>
      <c r="O41" s="821"/>
      <c r="P41" s="151"/>
      <c r="Q41" s="675"/>
      <c r="R41" s="675"/>
      <c r="S41" s="675"/>
      <c r="T41" s="32"/>
      <c r="U41" s="118"/>
      <c r="V41" s="118"/>
    </row>
    <row r="42" spans="2:22" s="30" customFormat="1" ht="15">
      <c r="B42" s="1031" t="s">
        <v>184</v>
      </c>
      <c r="C42" s="43"/>
      <c r="D42" s="718"/>
      <c r="E42" s="1032"/>
      <c r="H42" s="717"/>
      <c r="I42" s="717"/>
      <c r="J42" s="479">
        <f t="shared" ref="J42" si="31">J43</f>
        <v>0</v>
      </c>
      <c r="K42" s="479">
        <f>K43</f>
        <v>17.2</v>
      </c>
      <c r="L42" s="479">
        <f t="shared" ref="L42:M42" si="32">L43</f>
        <v>0</v>
      </c>
      <c r="M42" s="479">
        <f t="shared" si="32"/>
        <v>17.2</v>
      </c>
      <c r="N42" s="716"/>
      <c r="O42" s="818"/>
      <c r="P42" s="32"/>
      <c r="Q42" s="479">
        <f t="shared" ref="Q42:R42" si="33">Q43</f>
        <v>17</v>
      </c>
      <c r="R42" s="479">
        <f t="shared" si="33"/>
        <v>17</v>
      </c>
      <c r="S42" s="716"/>
      <c r="T42" s="43"/>
      <c r="U42" s="31"/>
      <c r="V42" s="31"/>
    </row>
    <row r="43" spans="2:22" s="30" customFormat="1" ht="30">
      <c r="B43" s="254" t="s">
        <v>181</v>
      </c>
      <c r="C43" s="252" t="s">
        <v>185</v>
      </c>
      <c r="D43" s="621">
        <v>41334</v>
      </c>
      <c r="E43" s="621" t="s">
        <v>4973</v>
      </c>
      <c r="F43" s="250" t="s">
        <v>5649</v>
      </c>
      <c r="G43" s="251"/>
      <c r="H43" s="1033">
        <v>101742</v>
      </c>
      <c r="I43" s="1033"/>
      <c r="J43" s="255"/>
      <c r="K43" s="253">
        <v>17.2</v>
      </c>
      <c r="L43" s="255"/>
      <c r="M43" s="253">
        <f t="shared" ref="M43" si="34">SUM(J43:L43)</f>
        <v>17.2</v>
      </c>
      <c r="N43" s="1034">
        <f>M43+H43</f>
        <v>101759.2</v>
      </c>
      <c r="O43" s="226" t="s">
        <v>110</v>
      </c>
      <c r="P43" s="62" t="s">
        <v>105</v>
      </c>
      <c r="Q43" s="1034">
        <v>17</v>
      </c>
      <c r="R43" s="675">
        <v>17</v>
      </c>
      <c r="S43" s="675" t="s">
        <v>4801</v>
      </c>
      <c r="T43" s="151" t="s">
        <v>153</v>
      </c>
      <c r="U43" s="118" t="s">
        <v>186</v>
      </c>
      <c r="V43" s="118"/>
    </row>
    <row r="44" spans="2:22" s="30" customFormat="1" ht="15">
      <c r="B44" s="249"/>
      <c r="C44" s="252"/>
      <c r="D44" s="621"/>
      <c r="E44" s="621"/>
      <c r="F44" s="250"/>
      <c r="G44" s="251"/>
      <c r="H44" s="519"/>
      <c r="I44" s="519"/>
      <c r="J44" s="253"/>
      <c r="K44" s="253"/>
      <c r="L44" s="253"/>
      <c r="M44" s="253"/>
      <c r="N44" s="675"/>
      <c r="O44" s="821"/>
      <c r="P44" s="151"/>
      <c r="Q44" s="675"/>
      <c r="R44" s="675"/>
      <c r="S44" s="675"/>
      <c r="T44" s="32"/>
      <c r="U44" s="118"/>
      <c r="V44" s="118"/>
    </row>
    <row r="45" spans="2:22" s="30" customFormat="1" ht="15">
      <c r="B45" s="1031" t="s">
        <v>187</v>
      </c>
      <c r="C45" s="43"/>
      <c r="D45" s="718"/>
      <c r="E45" s="1032"/>
      <c r="H45" s="717"/>
      <c r="I45" s="717"/>
      <c r="J45" s="479">
        <f t="shared" ref="J45" si="35">J46</f>
        <v>0</v>
      </c>
      <c r="K45" s="479">
        <f>K46</f>
        <v>5</v>
      </c>
      <c r="L45" s="479">
        <f t="shared" ref="L45:M45" si="36">L46</f>
        <v>0</v>
      </c>
      <c r="M45" s="479">
        <f t="shared" si="36"/>
        <v>5</v>
      </c>
      <c r="N45" s="716"/>
      <c r="O45" s="818"/>
      <c r="P45" s="32"/>
      <c r="Q45" s="479">
        <f t="shared" ref="Q45:R45" si="37">Q46</f>
        <v>0</v>
      </c>
      <c r="R45" s="479">
        <f t="shared" si="37"/>
        <v>0</v>
      </c>
      <c r="S45" s="716"/>
      <c r="T45" s="43"/>
      <c r="U45" s="31"/>
      <c r="V45" s="31"/>
    </row>
    <row r="46" spans="2:22" s="30" customFormat="1" ht="15" customHeight="1">
      <c r="B46" s="256" t="s">
        <v>22</v>
      </c>
      <c r="C46" s="258" t="s">
        <v>188</v>
      </c>
      <c r="D46" s="685">
        <v>41334</v>
      </c>
      <c r="E46" s="685" t="s">
        <v>5732</v>
      </c>
      <c r="F46" s="257" t="s">
        <v>5649</v>
      </c>
      <c r="G46" s="256"/>
      <c r="H46" s="1035">
        <v>35291</v>
      </c>
      <c r="I46" s="1035"/>
      <c r="J46" s="259"/>
      <c r="K46" s="260">
        <v>5</v>
      </c>
      <c r="L46" s="259"/>
      <c r="M46" s="260">
        <f t="shared" ref="M46" si="38">SUM(J46:L46)</f>
        <v>5</v>
      </c>
      <c r="N46" s="716">
        <f>M46+H46</f>
        <v>35296</v>
      </c>
      <c r="O46" s="226" t="s">
        <v>110</v>
      </c>
      <c r="P46" s="62" t="s">
        <v>105</v>
      </c>
      <c r="Q46" s="716"/>
      <c r="R46" s="716"/>
      <c r="S46" s="716"/>
      <c r="T46" s="1036" t="s">
        <v>153</v>
      </c>
      <c r="U46" s="118" t="s">
        <v>189</v>
      </c>
      <c r="V46" s="118"/>
    </row>
    <row r="47" spans="2:22" s="30" customFormat="1" ht="15">
      <c r="B47" s="249"/>
      <c r="C47" s="252"/>
      <c r="D47" s="621"/>
      <c r="E47" s="621"/>
      <c r="F47" s="250"/>
      <c r="G47" s="251"/>
      <c r="H47" s="519"/>
      <c r="I47" s="519"/>
      <c r="J47" s="253"/>
      <c r="K47" s="253"/>
      <c r="L47" s="253"/>
      <c r="M47" s="253"/>
      <c r="N47" s="675"/>
      <c r="O47" s="821"/>
      <c r="P47" s="32"/>
      <c r="Q47" s="675"/>
      <c r="R47" s="675"/>
      <c r="S47" s="675"/>
      <c r="T47" s="32"/>
      <c r="U47" s="32"/>
      <c r="V47" s="118"/>
    </row>
    <row r="48" spans="2:22" s="30" customFormat="1" ht="15">
      <c r="B48" s="1031" t="s">
        <v>190</v>
      </c>
      <c r="C48" s="252"/>
      <c r="D48" s="621"/>
      <c r="E48" s="621"/>
      <c r="F48" s="250"/>
      <c r="G48" s="251"/>
      <c r="H48" s="519"/>
      <c r="I48" s="519"/>
      <c r="J48" s="479">
        <f>SUM(J49:J52)</f>
        <v>0</v>
      </c>
      <c r="K48" s="479">
        <f t="shared" ref="K48:M48" si="39">SUM(K49:K52)</f>
        <v>10000</v>
      </c>
      <c r="L48" s="479">
        <f t="shared" si="39"/>
        <v>0</v>
      </c>
      <c r="M48" s="479">
        <f t="shared" si="39"/>
        <v>10000</v>
      </c>
      <c r="N48" s="675"/>
      <c r="O48" s="821"/>
      <c r="P48" s="32"/>
      <c r="Q48" s="479">
        <f t="shared" ref="Q48:R48" si="40">SUM(Q49:Q52)</f>
        <v>0</v>
      </c>
      <c r="R48" s="479">
        <f t="shared" si="40"/>
        <v>0</v>
      </c>
      <c r="S48" s="675"/>
      <c r="T48" s="32"/>
      <c r="U48" s="32"/>
      <c r="V48" s="118"/>
    </row>
    <row r="49" spans="2:22" s="30" customFormat="1" ht="30">
      <c r="B49" s="261" t="s">
        <v>22</v>
      </c>
      <c r="C49" s="252" t="s">
        <v>191</v>
      </c>
      <c r="D49" s="621">
        <v>41313</v>
      </c>
      <c r="E49" s="621" t="s">
        <v>4965</v>
      </c>
      <c r="F49" s="251" t="s">
        <v>1368</v>
      </c>
      <c r="G49" s="250"/>
      <c r="H49" s="1037"/>
      <c r="I49" s="1037"/>
      <c r="J49" s="253"/>
      <c r="K49" s="253">
        <v>1000</v>
      </c>
      <c r="L49" s="253"/>
      <c r="M49" s="253">
        <f t="shared" ref="M49:M52" si="41">SUM(J49:L49)</f>
        <v>1000</v>
      </c>
      <c r="N49" s="328"/>
      <c r="O49" s="226" t="s">
        <v>110</v>
      </c>
      <c r="P49" s="62" t="s">
        <v>105</v>
      </c>
      <c r="Q49" s="726"/>
      <c r="R49" s="726"/>
      <c r="S49" s="726"/>
      <c r="T49" s="32" t="s">
        <v>153</v>
      </c>
      <c r="U49" s="12" t="s">
        <v>192</v>
      </c>
      <c r="V49" s="12"/>
    </row>
    <row r="50" spans="2:22" s="30" customFormat="1" ht="30">
      <c r="B50" s="261" t="s">
        <v>22</v>
      </c>
      <c r="C50" s="258" t="s">
        <v>193</v>
      </c>
      <c r="D50" s="685">
        <v>41318</v>
      </c>
      <c r="E50" s="685" t="s">
        <v>5278</v>
      </c>
      <c r="F50" s="262" t="s">
        <v>1368</v>
      </c>
      <c r="G50" s="257"/>
      <c r="H50" s="722"/>
      <c r="I50" s="722"/>
      <c r="J50" s="260"/>
      <c r="K50" s="260">
        <v>5000</v>
      </c>
      <c r="L50" s="260"/>
      <c r="M50" s="260">
        <f t="shared" si="41"/>
        <v>5000</v>
      </c>
      <c r="N50" s="715"/>
      <c r="O50" s="226" t="s">
        <v>110</v>
      </c>
      <c r="P50" s="62" t="s">
        <v>105</v>
      </c>
      <c r="Q50" s="1038"/>
      <c r="R50" s="1038"/>
      <c r="S50" s="1038"/>
      <c r="T50" s="32" t="s">
        <v>153</v>
      </c>
      <c r="U50" s="12" t="s">
        <v>192</v>
      </c>
      <c r="V50" s="12"/>
    </row>
    <row r="51" spans="2:22" s="30" customFormat="1" ht="30">
      <c r="B51" s="261" t="s">
        <v>22</v>
      </c>
      <c r="C51" s="258" t="s">
        <v>194</v>
      </c>
      <c r="D51" s="685">
        <v>41325</v>
      </c>
      <c r="E51" s="685" t="s">
        <v>4973</v>
      </c>
      <c r="F51" s="262" t="s">
        <v>5733</v>
      </c>
      <c r="G51" s="257"/>
      <c r="H51" s="722"/>
      <c r="I51" s="722"/>
      <c r="J51" s="260"/>
      <c r="K51" s="260">
        <v>3000</v>
      </c>
      <c r="L51" s="260"/>
      <c r="M51" s="260">
        <f t="shared" si="41"/>
        <v>3000</v>
      </c>
      <c r="N51" s="715"/>
      <c r="O51" s="226" t="s">
        <v>110</v>
      </c>
      <c r="P51" s="62" t="s">
        <v>105</v>
      </c>
      <c r="Q51" s="1038"/>
      <c r="R51" s="1038"/>
      <c r="S51" s="1038"/>
      <c r="T51" s="32" t="s">
        <v>153</v>
      </c>
      <c r="U51" s="12" t="s">
        <v>192</v>
      </c>
      <c r="V51" s="12"/>
    </row>
    <row r="52" spans="2:22" s="30" customFormat="1" ht="30">
      <c r="B52" s="261" t="s">
        <v>22</v>
      </c>
      <c r="C52" s="252" t="s">
        <v>195</v>
      </c>
      <c r="D52" s="621">
        <v>41347</v>
      </c>
      <c r="E52" s="621" t="s">
        <v>4973</v>
      </c>
      <c r="F52" s="251" t="s">
        <v>5733</v>
      </c>
      <c r="G52" s="250"/>
      <c r="H52" s="1037"/>
      <c r="I52" s="1037"/>
      <c r="J52" s="253"/>
      <c r="K52" s="253">
        <v>1000</v>
      </c>
      <c r="L52" s="253"/>
      <c r="M52" s="253">
        <f t="shared" si="41"/>
        <v>1000</v>
      </c>
      <c r="N52" s="328"/>
      <c r="O52" s="226" t="s">
        <v>110</v>
      </c>
      <c r="P52" s="62" t="s">
        <v>105</v>
      </c>
      <c r="Q52" s="726"/>
      <c r="R52" s="726"/>
      <c r="S52" s="726"/>
      <c r="T52" s="32" t="s">
        <v>153</v>
      </c>
      <c r="U52" s="12" t="s">
        <v>192</v>
      </c>
      <c r="V52" s="12"/>
    </row>
    <row r="53" spans="2:22" s="30" customFormat="1" ht="15">
      <c r="B53" s="249"/>
      <c r="C53" s="252"/>
      <c r="D53" s="621"/>
      <c r="E53" s="621"/>
      <c r="F53" s="250"/>
      <c r="G53" s="251"/>
      <c r="H53" s="519"/>
      <c r="I53" s="519"/>
      <c r="J53" s="253"/>
      <c r="K53" s="253"/>
      <c r="L53" s="253"/>
      <c r="M53" s="253"/>
      <c r="N53" s="675"/>
      <c r="O53" s="821"/>
      <c r="P53" s="151"/>
      <c r="Q53" s="675"/>
      <c r="R53" s="675"/>
      <c r="S53" s="675"/>
      <c r="T53" s="32"/>
      <c r="U53" s="118"/>
      <c r="V53" s="118"/>
    </row>
    <row r="54" spans="2:22" s="30" customFormat="1" ht="15">
      <c r="B54" s="1031" t="s">
        <v>196</v>
      </c>
      <c r="C54" s="43"/>
      <c r="D54" s="718"/>
      <c r="E54" s="1032"/>
      <c r="H54" s="717"/>
      <c r="I54" s="717"/>
      <c r="J54" s="479">
        <f>SUM(J55:J56)</f>
        <v>0</v>
      </c>
      <c r="K54" s="479">
        <f>SUM(K55:K56)</f>
        <v>1150</v>
      </c>
      <c r="L54" s="479">
        <f>SUM(L55:L56)</f>
        <v>0</v>
      </c>
      <c r="M54" s="479">
        <f>SUM(M55:M56)</f>
        <v>1150</v>
      </c>
      <c r="N54" s="716"/>
      <c r="O54" s="818"/>
      <c r="P54" s="32"/>
      <c r="Q54" s="479">
        <f t="shared" ref="Q54:R54" si="42">SUM(Q55:Q56)</f>
        <v>0</v>
      </c>
      <c r="R54" s="479">
        <f t="shared" si="42"/>
        <v>0</v>
      </c>
      <c r="S54" s="716"/>
      <c r="T54" s="43"/>
      <c r="U54" s="31"/>
      <c r="V54" s="31"/>
    </row>
    <row r="55" spans="2:22" s="30" customFormat="1" ht="30">
      <c r="B55" s="254" t="s">
        <v>181</v>
      </c>
      <c r="C55" s="252" t="s">
        <v>197</v>
      </c>
      <c r="D55" s="621">
        <v>41339</v>
      </c>
      <c r="E55" s="621" t="s">
        <v>5658</v>
      </c>
      <c r="F55" s="249" t="s">
        <v>5734</v>
      </c>
      <c r="G55" s="250"/>
      <c r="H55" s="486"/>
      <c r="I55" s="253"/>
      <c r="K55" s="253">
        <v>1000</v>
      </c>
      <c r="L55" s="253"/>
      <c r="M55" s="253">
        <f>SUM(I55:L55)</f>
        <v>1000</v>
      </c>
      <c r="N55" s="32" t="s">
        <v>198</v>
      </c>
      <c r="O55" s="226" t="s">
        <v>110</v>
      </c>
      <c r="P55" s="62" t="s">
        <v>105</v>
      </c>
      <c r="Q55" s="727"/>
      <c r="R55" s="727"/>
      <c r="S55" s="727"/>
      <c r="T55" s="32" t="s">
        <v>153</v>
      </c>
      <c r="U55" s="12" t="s">
        <v>199</v>
      </c>
    </row>
    <row r="56" spans="2:22" s="30" customFormat="1" ht="30">
      <c r="B56" s="254" t="s">
        <v>181</v>
      </c>
      <c r="C56" s="252" t="s">
        <v>200</v>
      </c>
      <c r="D56" s="621">
        <v>41334</v>
      </c>
      <c r="E56" s="621" t="s">
        <v>5658</v>
      </c>
      <c r="F56" s="249" t="s">
        <v>5734</v>
      </c>
      <c r="G56" s="250"/>
      <c r="H56" s="486"/>
      <c r="I56" s="253"/>
      <c r="K56" s="253">
        <v>150</v>
      </c>
      <c r="L56" s="253"/>
      <c r="M56" s="253">
        <f>SUM(I56:L56)</f>
        <v>150</v>
      </c>
      <c r="N56" s="32" t="s">
        <v>198</v>
      </c>
      <c r="O56" s="226" t="s">
        <v>110</v>
      </c>
      <c r="P56" s="62" t="s">
        <v>105</v>
      </c>
      <c r="Q56" s="727"/>
      <c r="R56" s="727"/>
      <c r="S56" s="727"/>
      <c r="T56" s="32" t="s">
        <v>153</v>
      </c>
      <c r="U56" s="12" t="s">
        <v>199</v>
      </c>
    </row>
    <row r="57" spans="2:22" s="30" customFormat="1" ht="15">
      <c r="B57" s="254"/>
      <c r="C57" s="252"/>
      <c r="D57" s="621"/>
      <c r="E57" s="621"/>
      <c r="F57" s="249"/>
      <c r="G57" s="250"/>
      <c r="H57" s="486"/>
      <c r="I57" s="486"/>
      <c r="J57" s="253"/>
      <c r="K57" s="253"/>
      <c r="L57" s="253"/>
      <c r="M57" s="253"/>
      <c r="N57" s="328"/>
      <c r="O57" s="329"/>
      <c r="P57" s="32"/>
      <c r="Q57" s="726"/>
      <c r="R57" s="726"/>
      <c r="S57" s="726"/>
      <c r="T57" s="32"/>
      <c r="U57" s="32"/>
      <c r="V57" s="12"/>
    </row>
    <row r="58" spans="2:22" s="30" customFormat="1" ht="15">
      <c r="B58" s="187" t="s">
        <v>139</v>
      </c>
      <c r="C58" s="252"/>
      <c r="D58" s="621"/>
      <c r="E58" s="621"/>
      <c r="F58" s="249"/>
      <c r="G58" s="250"/>
      <c r="H58" s="486"/>
      <c r="I58" s="486"/>
      <c r="J58" s="479">
        <f>J59</f>
        <v>0</v>
      </c>
      <c r="K58" s="479">
        <f t="shared" ref="K58:M58" si="43">K59</f>
        <v>24700</v>
      </c>
      <c r="L58" s="479">
        <f t="shared" si="43"/>
        <v>0</v>
      </c>
      <c r="M58" s="479">
        <f t="shared" si="43"/>
        <v>24700</v>
      </c>
      <c r="N58" s="328"/>
      <c r="O58" s="329"/>
      <c r="P58" s="32"/>
      <c r="Q58" s="479">
        <f t="shared" ref="Q58:R58" si="44">Q59</f>
        <v>0</v>
      </c>
      <c r="R58" s="479">
        <f t="shared" si="44"/>
        <v>0</v>
      </c>
      <c r="S58" s="726"/>
      <c r="T58" s="32"/>
      <c r="U58" s="32"/>
      <c r="V58" s="12"/>
    </row>
    <row r="59" spans="2:22" s="30" customFormat="1" ht="15">
      <c r="B59" s="1031" t="s">
        <v>11</v>
      </c>
      <c r="C59" s="252"/>
      <c r="D59" s="621"/>
      <c r="E59" s="621"/>
      <c r="F59" s="249"/>
      <c r="G59" s="250"/>
      <c r="H59" s="486"/>
      <c r="I59" s="486"/>
      <c r="J59" s="479">
        <f>SUM(J60:J69)</f>
        <v>0</v>
      </c>
      <c r="K59" s="479">
        <f t="shared" ref="K59:M59" si="45">SUM(K60:K69)</f>
        <v>24700</v>
      </c>
      <c r="L59" s="479">
        <f t="shared" si="45"/>
        <v>0</v>
      </c>
      <c r="M59" s="479">
        <f t="shared" si="45"/>
        <v>24700</v>
      </c>
      <c r="N59" s="328"/>
      <c r="O59" s="329"/>
      <c r="P59" s="32"/>
      <c r="Q59" s="479">
        <f t="shared" ref="Q59:R59" si="46">SUM(Q60:Q69)</f>
        <v>0</v>
      </c>
      <c r="R59" s="479">
        <f t="shared" si="46"/>
        <v>0</v>
      </c>
      <c r="S59" s="726"/>
      <c r="T59" s="32"/>
      <c r="U59" s="32"/>
      <c r="V59" s="12"/>
    </row>
    <row r="60" spans="2:22" s="118" customFormat="1" ht="45">
      <c r="B60" s="263" t="s">
        <v>201</v>
      </c>
      <c r="C60" s="182" t="s">
        <v>202</v>
      </c>
      <c r="D60" s="419">
        <v>41325</v>
      </c>
      <c r="E60" s="419" t="s">
        <v>5736</v>
      </c>
      <c r="F60" s="1103" t="s">
        <v>5735</v>
      </c>
      <c r="G60" s="1103"/>
      <c r="H60" s="1039"/>
      <c r="I60" s="1039"/>
      <c r="K60" s="264">
        <v>3000</v>
      </c>
      <c r="L60" s="186"/>
      <c r="M60" s="186">
        <f>SUM(J60:L60)</f>
        <v>3000</v>
      </c>
      <c r="O60" s="226" t="s">
        <v>110</v>
      </c>
      <c r="P60" s="62" t="s">
        <v>105</v>
      </c>
      <c r="Q60" s="886"/>
      <c r="R60" s="477"/>
      <c r="S60" s="477"/>
      <c r="T60" s="151" t="s">
        <v>153</v>
      </c>
      <c r="U60" s="118" t="s">
        <v>203</v>
      </c>
    </row>
    <row r="61" spans="2:22" s="118" customFormat="1" ht="30">
      <c r="B61" s="263" t="s">
        <v>204</v>
      </c>
      <c r="C61" s="182" t="s">
        <v>205</v>
      </c>
      <c r="D61" s="419">
        <v>41358</v>
      </c>
      <c r="E61" s="419" t="s">
        <v>5738</v>
      </c>
      <c r="F61" s="1103" t="s">
        <v>5737</v>
      </c>
      <c r="G61" s="1103"/>
      <c r="H61" s="1039"/>
      <c r="I61" s="1039"/>
      <c r="K61" s="264">
        <v>1500</v>
      </c>
      <c r="L61" s="186"/>
      <c r="M61" s="186">
        <f>SUM(J61:L61)</f>
        <v>1500</v>
      </c>
      <c r="O61" s="226" t="s">
        <v>110</v>
      </c>
      <c r="P61" s="62" t="s">
        <v>105</v>
      </c>
      <c r="Q61" s="886"/>
      <c r="R61" s="477"/>
      <c r="S61" s="477"/>
      <c r="T61" s="151" t="s">
        <v>153</v>
      </c>
      <c r="U61" s="118" t="s">
        <v>206</v>
      </c>
    </row>
    <row r="62" spans="2:22" s="118" customFormat="1" ht="45">
      <c r="B62" s="263" t="s">
        <v>207</v>
      </c>
      <c r="C62" s="182" t="s">
        <v>208</v>
      </c>
      <c r="D62" s="419">
        <v>41325</v>
      </c>
      <c r="E62" s="419" t="s">
        <v>3124</v>
      </c>
      <c r="F62" s="1103" t="s">
        <v>5244</v>
      </c>
      <c r="G62" s="1103"/>
      <c r="H62" s="1039"/>
      <c r="I62" s="1039"/>
      <c r="K62" s="186">
        <v>10000</v>
      </c>
      <c r="L62" s="186"/>
      <c r="M62" s="186">
        <f>SUM(J62:L62)</f>
        <v>10000</v>
      </c>
      <c r="O62" s="226" t="s">
        <v>110</v>
      </c>
      <c r="P62" s="62" t="s">
        <v>105</v>
      </c>
      <c r="Q62" s="886"/>
      <c r="R62" s="477"/>
      <c r="S62" s="477"/>
      <c r="T62" s="151" t="s">
        <v>153</v>
      </c>
      <c r="U62" s="118" t="s">
        <v>209</v>
      </c>
    </row>
    <row r="63" spans="2:22" s="118" customFormat="1" ht="30">
      <c r="B63" s="263" t="s">
        <v>210</v>
      </c>
      <c r="C63" s="182" t="s">
        <v>211</v>
      </c>
      <c r="D63" s="419">
        <v>41347</v>
      </c>
      <c r="E63" s="419" t="s">
        <v>5196</v>
      </c>
      <c r="F63" s="1103" t="s">
        <v>5739</v>
      </c>
      <c r="G63" s="1103"/>
      <c r="H63" s="1039"/>
      <c r="I63" s="1039"/>
      <c r="K63" s="186">
        <v>1000</v>
      </c>
      <c r="L63" s="186"/>
      <c r="M63" s="186">
        <f>SUM(J63:L63)</f>
        <v>1000</v>
      </c>
      <c r="O63" s="226" t="s">
        <v>110</v>
      </c>
      <c r="P63" s="62" t="s">
        <v>105</v>
      </c>
      <c r="Q63" s="886"/>
      <c r="R63" s="477"/>
      <c r="S63" s="477"/>
      <c r="T63" s="151" t="s">
        <v>153</v>
      </c>
      <c r="U63" s="118" t="s">
        <v>206</v>
      </c>
    </row>
    <row r="64" spans="2:22" s="118" customFormat="1" ht="30">
      <c r="B64" s="263" t="s">
        <v>212</v>
      </c>
      <c r="C64" s="182" t="s">
        <v>213</v>
      </c>
      <c r="D64" s="419">
        <v>41347</v>
      </c>
      <c r="E64" s="419" t="s">
        <v>3144</v>
      </c>
      <c r="F64" s="1103" t="s">
        <v>5740</v>
      </c>
      <c r="G64" s="1103"/>
      <c r="H64" s="1039"/>
      <c r="I64" s="1039"/>
      <c r="K64" s="186">
        <v>1000</v>
      </c>
      <c r="L64" s="186"/>
      <c r="M64" s="186">
        <f t="shared" ref="M64:M66" si="47">SUM(J64:L64)</f>
        <v>1000</v>
      </c>
      <c r="O64" s="226" t="s">
        <v>110</v>
      </c>
      <c r="P64" s="62" t="s">
        <v>105</v>
      </c>
      <c r="Q64" s="886"/>
      <c r="R64" s="477"/>
      <c r="S64" s="477"/>
      <c r="T64" s="151" t="s">
        <v>153</v>
      </c>
      <c r="U64" s="118" t="s">
        <v>206</v>
      </c>
    </row>
    <row r="65" spans="2:22" s="118" customFormat="1" ht="30">
      <c r="B65" s="263" t="s">
        <v>212</v>
      </c>
      <c r="C65" s="182" t="s">
        <v>214</v>
      </c>
      <c r="D65" s="419">
        <v>41358</v>
      </c>
      <c r="E65" s="419" t="s">
        <v>5189</v>
      </c>
      <c r="F65" s="1103" t="s">
        <v>5188</v>
      </c>
      <c r="G65" s="1103"/>
      <c r="H65" s="1039"/>
      <c r="I65" s="1039"/>
      <c r="K65" s="186">
        <v>200</v>
      </c>
      <c r="L65" s="186"/>
      <c r="M65" s="186">
        <f t="shared" si="47"/>
        <v>200</v>
      </c>
      <c r="O65" s="226" t="s">
        <v>110</v>
      </c>
      <c r="P65" s="62" t="s">
        <v>105</v>
      </c>
      <c r="Q65" s="886"/>
      <c r="R65" s="477"/>
      <c r="S65" s="477"/>
      <c r="T65" s="151" t="s">
        <v>153</v>
      </c>
      <c r="U65" s="118" t="s">
        <v>206</v>
      </c>
    </row>
    <row r="66" spans="2:22" s="118" customFormat="1" ht="60">
      <c r="B66" s="263" t="s">
        <v>215</v>
      </c>
      <c r="C66" s="182" t="s">
        <v>216</v>
      </c>
      <c r="D66" s="419">
        <v>41347</v>
      </c>
      <c r="E66" s="419" t="s">
        <v>5252</v>
      </c>
      <c r="F66" s="1103" t="s">
        <v>5741</v>
      </c>
      <c r="G66" s="1103"/>
      <c r="H66" s="1039"/>
      <c r="I66" s="1039"/>
      <c r="K66" s="186">
        <v>1000</v>
      </c>
      <c r="L66" s="186"/>
      <c r="M66" s="186">
        <f t="shared" si="47"/>
        <v>1000</v>
      </c>
      <c r="O66" s="226" t="s">
        <v>110</v>
      </c>
      <c r="P66" s="62" t="s">
        <v>105</v>
      </c>
      <c r="Q66" s="886"/>
      <c r="R66" s="477"/>
      <c r="S66" s="477"/>
      <c r="T66" s="151" t="s">
        <v>153</v>
      </c>
      <c r="U66" s="118" t="s">
        <v>217</v>
      </c>
    </row>
    <row r="67" spans="2:22" s="118" customFormat="1" ht="30">
      <c r="B67" s="263" t="s">
        <v>218</v>
      </c>
      <c r="C67" s="182" t="s">
        <v>219</v>
      </c>
      <c r="D67" s="419">
        <v>41347</v>
      </c>
      <c r="E67" s="419" t="s">
        <v>5743</v>
      </c>
      <c r="F67" s="1103" t="s">
        <v>5742</v>
      </c>
      <c r="G67" s="1103"/>
      <c r="H67" s="1039"/>
      <c r="I67" s="1039"/>
      <c r="K67" s="186">
        <v>1000</v>
      </c>
      <c r="L67" s="186"/>
      <c r="M67" s="186">
        <f>SUM(J67:L67)</f>
        <v>1000</v>
      </c>
      <c r="O67" s="226" t="s">
        <v>110</v>
      </c>
      <c r="P67" s="62" t="s">
        <v>105</v>
      </c>
      <c r="Q67" s="886"/>
      <c r="R67" s="477"/>
      <c r="S67" s="477"/>
      <c r="T67" s="151" t="s">
        <v>153</v>
      </c>
      <c r="U67" s="118" t="s">
        <v>206</v>
      </c>
    </row>
    <row r="68" spans="2:22" s="118" customFormat="1" ht="45">
      <c r="B68" s="263" t="s">
        <v>220</v>
      </c>
      <c r="C68" s="182" t="s">
        <v>221</v>
      </c>
      <c r="D68" s="419">
        <v>41339</v>
      </c>
      <c r="E68" s="419" t="s">
        <v>5745</v>
      </c>
      <c r="F68" s="1103" t="s">
        <v>5744</v>
      </c>
      <c r="G68" s="1103"/>
      <c r="H68" s="1039"/>
      <c r="I68" s="1039"/>
      <c r="K68" s="186">
        <v>1000</v>
      </c>
      <c r="L68" s="186"/>
      <c r="M68" s="186">
        <f>SUM(J68:L68)</f>
        <v>1000</v>
      </c>
      <c r="O68" s="226" t="s">
        <v>110</v>
      </c>
      <c r="P68" s="62" t="s">
        <v>105</v>
      </c>
      <c r="Q68" s="886"/>
      <c r="R68" s="477"/>
      <c r="S68" s="477"/>
      <c r="T68" s="151" t="s">
        <v>153</v>
      </c>
      <c r="U68" s="118" t="s">
        <v>203</v>
      </c>
    </row>
    <row r="69" spans="2:22" s="118" customFormat="1" ht="45">
      <c r="B69" s="263" t="s">
        <v>222</v>
      </c>
      <c r="C69" s="182" t="s">
        <v>223</v>
      </c>
      <c r="D69" s="419">
        <v>41354</v>
      </c>
      <c r="E69" s="419" t="s">
        <v>5746</v>
      </c>
      <c r="F69" s="1103" t="s">
        <v>5182</v>
      </c>
      <c r="G69" s="1103"/>
      <c r="H69" s="1040"/>
      <c r="I69" s="1040"/>
      <c r="K69" s="186">
        <v>5000</v>
      </c>
      <c r="L69" s="186"/>
      <c r="M69" s="186">
        <f t="shared" ref="M69" si="48">SUM(J69:L69)</f>
        <v>5000</v>
      </c>
      <c r="O69" s="226" t="s">
        <v>110</v>
      </c>
      <c r="P69" s="62" t="s">
        <v>105</v>
      </c>
      <c r="Q69" s="886"/>
      <c r="R69" s="477"/>
      <c r="S69" s="477"/>
      <c r="T69" s="151" t="s">
        <v>153</v>
      </c>
      <c r="U69" s="118" t="s">
        <v>209</v>
      </c>
    </row>
    <row r="70" spans="2:22" s="118" customFormat="1" ht="15">
      <c r="B70" s="263"/>
      <c r="C70" s="182"/>
      <c r="D70" s="419"/>
      <c r="E70" s="419"/>
      <c r="F70" s="265"/>
      <c r="G70" s="1103"/>
      <c r="H70" s="1040"/>
      <c r="I70" s="1040"/>
      <c r="K70" s="186"/>
      <c r="L70" s="186"/>
      <c r="M70" s="186"/>
      <c r="O70" s="151"/>
      <c r="P70" s="735"/>
      <c r="Q70" s="886"/>
      <c r="R70" s="477"/>
      <c r="S70" s="477"/>
      <c r="T70" s="151"/>
      <c r="U70" s="735"/>
    </row>
    <row r="71" spans="2:22" s="30" customFormat="1" ht="15">
      <c r="B71" s="187" t="s">
        <v>140</v>
      </c>
      <c r="C71" s="252"/>
      <c r="D71" s="621"/>
      <c r="E71" s="621"/>
      <c r="F71" s="249"/>
      <c r="G71" s="250"/>
      <c r="H71" s="486"/>
      <c r="I71" s="486"/>
      <c r="J71" s="479">
        <f>J72</f>
        <v>0</v>
      </c>
      <c r="K71" s="479">
        <f t="shared" ref="K71:M71" si="49">K72</f>
        <v>16001</v>
      </c>
      <c r="L71" s="479">
        <f t="shared" si="49"/>
        <v>0</v>
      </c>
      <c r="M71" s="479">
        <f t="shared" si="49"/>
        <v>16001</v>
      </c>
      <c r="N71" s="328"/>
      <c r="O71" s="329"/>
      <c r="P71" s="32"/>
      <c r="Q71" s="479">
        <f t="shared" ref="Q71:R71" si="50">Q72</f>
        <v>16001</v>
      </c>
      <c r="R71" s="479">
        <f t="shared" si="50"/>
        <v>15994</v>
      </c>
      <c r="S71" s="726"/>
      <c r="T71" s="32"/>
      <c r="U71" s="32"/>
      <c r="V71" s="12"/>
    </row>
    <row r="72" spans="2:22" s="30" customFormat="1" ht="15">
      <c r="B72" s="1031" t="s">
        <v>224</v>
      </c>
      <c r="C72" s="252"/>
      <c r="D72" s="621"/>
      <c r="E72" s="621"/>
      <c r="F72" s="249"/>
      <c r="G72" s="250"/>
      <c r="H72" s="486"/>
      <c r="I72" s="486"/>
      <c r="J72" s="479">
        <f>SUM(J73:J77)</f>
        <v>0</v>
      </c>
      <c r="K72" s="479">
        <f>SUM(K73:K77)</f>
        <v>16001</v>
      </c>
      <c r="L72" s="479">
        <f t="shared" ref="L72:M72" si="51">SUM(L73:L77)</f>
        <v>0</v>
      </c>
      <c r="M72" s="479">
        <f t="shared" si="51"/>
        <v>16001</v>
      </c>
      <c r="N72" s="328"/>
      <c r="O72" s="329"/>
      <c r="P72" s="32"/>
      <c r="Q72" s="479">
        <f t="shared" ref="Q72:R72" si="52">SUM(Q73:Q77)</f>
        <v>16001</v>
      </c>
      <c r="R72" s="479">
        <f t="shared" si="52"/>
        <v>15994</v>
      </c>
      <c r="S72" s="726"/>
      <c r="T72" s="32"/>
      <c r="U72" s="32"/>
      <c r="V72" s="12"/>
    </row>
    <row r="73" spans="2:22" s="118" customFormat="1" ht="30">
      <c r="B73" s="198" t="s">
        <v>225</v>
      </c>
      <c r="C73" s="182" t="s">
        <v>226</v>
      </c>
      <c r="D73" s="419">
        <v>41339</v>
      </c>
      <c r="E73" s="419" t="s">
        <v>5266</v>
      </c>
      <c r="F73" s="185" t="s">
        <v>331</v>
      </c>
      <c r="G73" s="185"/>
      <c r="H73" s="266"/>
      <c r="I73" s="266"/>
      <c r="K73" s="186">
        <v>2000</v>
      </c>
      <c r="L73" s="186"/>
      <c r="M73" s="186">
        <f t="shared" ref="M73:M76" si="53">SUM(J73:L73)</f>
        <v>2000</v>
      </c>
      <c r="N73" s="184"/>
      <c r="O73" s="226" t="s">
        <v>110</v>
      </c>
      <c r="P73" s="62" t="s">
        <v>105</v>
      </c>
      <c r="Q73" s="184">
        <v>2000</v>
      </c>
      <c r="R73" s="184">
        <v>2000</v>
      </c>
      <c r="S73" s="184" t="s">
        <v>6120</v>
      </c>
      <c r="T73" s="151" t="s">
        <v>153</v>
      </c>
      <c r="U73" s="118" t="s">
        <v>227</v>
      </c>
    </row>
    <row r="74" spans="2:22" s="118" customFormat="1" ht="30">
      <c r="B74" s="198" t="s">
        <v>228</v>
      </c>
      <c r="C74" s="182" t="s">
        <v>229</v>
      </c>
      <c r="D74" s="419">
        <v>41334</v>
      </c>
      <c r="E74" s="419" t="s">
        <v>5266</v>
      </c>
      <c r="F74" s="185" t="s">
        <v>331</v>
      </c>
      <c r="G74" s="185"/>
      <c r="H74" s="266"/>
      <c r="I74" s="266"/>
      <c r="K74" s="186">
        <v>2000</v>
      </c>
      <c r="L74" s="186"/>
      <c r="M74" s="186">
        <f t="shared" si="53"/>
        <v>2000</v>
      </c>
      <c r="N74" s="184"/>
      <c r="O74" s="226" t="s">
        <v>110</v>
      </c>
      <c r="P74" s="62" t="s">
        <v>105</v>
      </c>
      <c r="Q74" s="184">
        <v>2000</v>
      </c>
      <c r="R74" s="184">
        <v>1994</v>
      </c>
      <c r="S74" s="184" t="s">
        <v>6121</v>
      </c>
      <c r="T74" s="151" t="s">
        <v>153</v>
      </c>
      <c r="U74" s="118" t="s">
        <v>227</v>
      </c>
    </row>
    <row r="75" spans="2:22" s="118" customFormat="1" ht="30">
      <c r="B75" s="198" t="s">
        <v>230</v>
      </c>
      <c r="C75" s="182" t="s">
        <v>231</v>
      </c>
      <c r="D75" s="419">
        <v>41355</v>
      </c>
      <c r="E75" s="419" t="s">
        <v>3260</v>
      </c>
      <c r="F75" s="185" t="s">
        <v>331</v>
      </c>
      <c r="G75" s="185"/>
      <c r="H75" s="266"/>
      <c r="I75" s="266"/>
      <c r="K75" s="186">
        <v>5000</v>
      </c>
      <c r="L75" s="186"/>
      <c r="M75" s="186">
        <f t="shared" si="53"/>
        <v>5000</v>
      </c>
      <c r="N75" s="184"/>
      <c r="O75" s="226" t="s">
        <v>110</v>
      </c>
      <c r="P75" s="62" t="s">
        <v>105</v>
      </c>
      <c r="Q75" s="184">
        <v>5000</v>
      </c>
      <c r="R75" s="184">
        <v>4999</v>
      </c>
      <c r="S75" s="184" t="s">
        <v>6122</v>
      </c>
      <c r="T75" s="151" t="s">
        <v>153</v>
      </c>
      <c r="U75" s="118" t="s">
        <v>227</v>
      </c>
    </row>
    <row r="76" spans="2:22" s="118" customFormat="1" ht="30">
      <c r="B76" s="198" t="s">
        <v>232</v>
      </c>
      <c r="C76" s="182" t="s">
        <v>233</v>
      </c>
      <c r="D76" s="419">
        <v>41487</v>
      </c>
      <c r="E76" s="419" t="s">
        <v>1134</v>
      </c>
      <c r="F76" s="98" t="s">
        <v>5747</v>
      </c>
      <c r="G76" s="267"/>
      <c r="H76" s="268"/>
      <c r="I76" s="268"/>
      <c r="K76" s="186">
        <v>2001</v>
      </c>
      <c r="L76" s="186"/>
      <c r="M76" s="186">
        <f t="shared" si="53"/>
        <v>2001</v>
      </c>
      <c r="N76" s="184"/>
      <c r="O76" s="226" t="s">
        <v>110</v>
      </c>
      <c r="P76" s="62" t="s">
        <v>105</v>
      </c>
      <c r="Q76" s="184">
        <v>2001</v>
      </c>
      <c r="R76" s="184">
        <v>2001</v>
      </c>
      <c r="S76" s="184" t="s">
        <v>6123</v>
      </c>
      <c r="T76" s="151" t="s">
        <v>153</v>
      </c>
      <c r="U76" s="118" t="s">
        <v>234</v>
      </c>
    </row>
    <row r="77" spans="2:22" s="118" customFormat="1" ht="75">
      <c r="B77" s="198" t="s">
        <v>505</v>
      </c>
      <c r="C77" s="77" t="s">
        <v>502</v>
      </c>
      <c r="D77" s="78">
        <v>41366</v>
      </c>
      <c r="E77" s="78" t="s">
        <v>3253</v>
      </c>
      <c r="F77" s="185" t="s">
        <v>5748</v>
      </c>
      <c r="G77" s="98"/>
      <c r="H77" s="337"/>
      <c r="K77" s="264">
        <v>5000</v>
      </c>
      <c r="L77" s="246"/>
      <c r="M77" s="264">
        <f>SUM(J77:L77)</f>
        <v>5000</v>
      </c>
      <c r="N77" s="246"/>
      <c r="O77" s="226" t="s">
        <v>110</v>
      </c>
      <c r="P77" s="62" t="s">
        <v>105</v>
      </c>
      <c r="Q77" s="184">
        <v>5000</v>
      </c>
      <c r="R77" s="184">
        <v>5000</v>
      </c>
      <c r="S77" s="477" t="s">
        <v>6105</v>
      </c>
      <c r="T77" s="151" t="s">
        <v>503</v>
      </c>
      <c r="U77" s="118" t="s">
        <v>504</v>
      </c>
    </row>
    <row r="78" spans="2:22" s="30" customFormat="1" ht="15">
      <c r="B78" s="254"/>
      <c r="C78" s="252"/>
      <c r="D78" s="621"/>
      <c r="E78" s="621"/>
      <c r="F78" s="249"/>
      <c r="G78" s="250"/>
      <c r="H78" s="486"/>
      <c r="I78" s="486"/>
      <c r="J78" s="253"/>
      <c r="K78" s="253"/>
      <c r="L78" s="253"/>
      <c r="M78" s="253"/>
      <c r="N78" s="328"/>
      <c r="O78" s="329"/>
      <c r="P78" s="32"/>
      <c r="Q78" s="726"/>
      <c r="R78" s="726"/>
      <c r="S78" s="726"/>
      <c r="T78" s="32"/>
      <c r="U78" s="32"/>
      <c r="V78" s="12"/>
    </row>
    <row r="79" spans="2:22" s="81" customFormat="1" ht="15">
      <c r="B79" s="187" t="s">
        <v>65</v>
      </c>
      <c r="C79" s="62"/>
      <c r="D79" s="84"/>
      <c r="E79" s="84"/>
      <c r="F79" s="83"/>
      <c r="G79" s="83"/>
      <c r="H79" s="85"/>
      <c r="I79" s="85"/>
      <c r="J79" s="200">
        <f>J80</f>
        <v>0</v>
      </c>
      <c r="K79" s="200">
        <f t="shared" ref="K79:M79" si="54">K80</f>
        <v>0</v>
      </c>
      <c r="L79" s="200">
        <f t="shared" si="54"/>
        <v>2152934.75</v>
      </c>
      <c r="M79" s="200">
        <f t="shared" si="54"/>
        <v>2152934.75</v>
      </c>
      <c r="N79" s="15"/>
      <c r="O79" s="62"/>
      <c r="P79" s="152"/>
      <c r="Q79" s="200">
        <f t="shared" ref="Q79:R79" si="55">Q80</f>
        <v>0</v>
      </c>
      <c r="R79" s="7">
        <f t="shared" si="55"/>
        <v>0</v>
      </c>
      <c r="S79" s="187"/>
      <c r="T79" s="62"/>
    </row>
    <row r="80" spans="2:22" s="81" customFormat="1" ht="15">
      <c r="B80" s="1031" t="s">
        <v>11</v>
      </c>
      <c r="C80" s="152"/>
      <c r="D80" s="686"/>
      <c r="E80" s="878"/>
      <c r="F80" s="269"/>
      <c r="G80" s="269"/>
      <c r="H80" s="270"/>
      <c r="I80" s="270"/>
      <c r="J80" s="271">
        <f>SUM(J81:J116)</f>
        <v>0</v>
      </c>
      <c r="K80" s="271">
        <f>SUM(K81:K116)</f>
        <v>0</v>
      </c>
      <c r="L80" s="271">
        <f>SUM(L81:L116)</f>
        <v>2152934.75</v>
      </c>
      <c r="M80" s="271">
        <f>SUM(M81:M116)</f>
        <v>2152934.75</v>
      </c>
      <c r="N80" s="15"/>
      <c r="O80" s="62"/>
      <c r="P80" s="152"/>
      <c r="Q80" s="763">
        <f t="shared" ref="Q80:R80" si="56">SUM(Q81:Q116)</f>
        <v>0</v>
      </c>
      <c r="R80" s="1045">
        <f t="shared" si="56"/>
        <v>0</v>
      </c>
      <c r="S80" s="187"/>
      <c r="T80" s="62"/>
    </row>
    <row r="81" spans="2:23" s="81" customFormat="1" ht="30">
      <c r="B81" s="91" t="s">
        <v>235</v>
      </c>
      <c r="C81" s="214" t="s">
        <v>236</v>
      </c>
      <c r="D81" s="419">
        <v>41289</v>
      </c>
      <c r="E81" s="419" t="s">
        <v>5002</v>
      </c>
      <c r="F81" s="18" t="s">
        <v>486</v>
      </c>
      <c r="G81" s="18"/>
      <c r="H81" s="67"/>
      <c r="I81" s="67"/>
      <c r="J81" s="13"/>
      <c r="K81" s="13"/>
      <c r="L81" s="67">
        <v>150000</v>
      </c>
      <c r="M81" s="67">
        <f t="shared" ref="M81:M116" si="57">SUM(J81:L81)</f>
        <v>150000</v>
      </c>
      <c r="O81" s="226" t="s">
        <v>110</v>
      </c>
      <c r="P81" s="62" t="s">
        <v>105</v>
      </c>
      <c r="Q81" s="571"/>
      <c r="R81" s="9"/>
      <c r="S81" s="9"/>
      <c r="T81" s="62" t="s">
        <v>153</v>
      </c>
      <c r="U81" s="15" t="s">
        <v>237</v>
      </c>
    </row>
    <row r="82" spans="2:23" s="81" customFormat="1" ht="30">
      <c r="B82" s="91" t="s">
        <v>235</v>
      </c>
      <c r="C82" s="214" t="s">
        <v>238</v>
      </c>
      <c r="D82" s="419">
        <v>41289</v>
      </c>
      <c r="E82" s="419" t="s">
        <v>5002</v>
      </c>
      <c r="F82" s="18" t="s">
        <v>486</v>
      </c>
      <c r="G82" s="18"/>
      <c r="H82" s="67"/>
      <c r="I82" s="67"/>
      <c r="J82" s="13"/>
      <c r="K82" s="13"/>
      <c r="L82" s="67">
        <v>95000</v>
      </c>
      <c r="M82" s="67">
        <f t="shared" si="57"/>
        <v>95000</v>
      </c>
      <c r="O82" s="226" t="s">
        <v>110</v>
      </c>
      <c r="P82" s="62" t="s">
        <v>105</v>
      </c>
      <c r="Q82" s="571"/>
      <c r="R82" s="9"/>
      <c r="S82" s="9"/>
      <c r="T82" s="62" t="s">
        <v>153</v>
      </c>
      <c r="U82" s="15" t="s">
        <v>237</v>
      </c>
    </row>
    <row r="83" spans="2:23" s="81" customFormat="1" ht="30">
      <c r="B83" s="91" t="s">
        <v>235</v>
      </c>
      <c r="C83" s="214" t="s">
        <v>239</v>
      </c>
      <c r="D83" s="419">
        <v>41309</v>
      </c>
      <c r="E83" s="419" t="s">
        <v>5002</v>
      </c>
      <c r="F83" s="18" t="s">
        <v>486</v>
      </c>
      <c r="G83" s="18"/>
      <c r="H83" s="67"/>
      <c r="I83" s="67"/>
      <c r="J83" s="13"/>
      <c r="K83" s="13"/>
      <c r="L83" s="67">
        <v>143900</v>
      </c>
      <c r="M83" s="67">
        <f t="shared" si="57"/>
        <v>143900</v>
      </c>
      <c r="O83" s="226" t="s">
        <v>110</v>
      </c>
      <c r="P83" s="62" t="s">
        <v>105</v>
      </c>
      <c r="Q83" s="571"/>
      <c r="R83" s="9"/>
      <c r="S83" s="9"/>
      <c r="T83" s="62" t="s">
        <v>153</v>
      </c>
      <c r="U83" s="15" t="s">
        <v>237</v>
      </c>
    </row>
    <row r="84" spans="2:23" s="81" customFormat="1" ht="30">
      <c r="B84" s="91" t="s">
        <v>235</v>
      </c>
      <c r="C84" s="214" t="s">
        <v>240</v>
      </c>
      <c r="D84" s="419">
        <v>41316</v>
      </c>
      <c r="E84" s="419" t="s">
        <v>5002</v>
      </c>
      <c r="F84" s="18" t="s">
        <v>486</v>
      </c>
      <c r="G84" s="18"/>
      <c r="H84" s="67"/>
      <c r="I84" s="67"/>
      <c r="J84" s="13"/>
      <c r="K84" s="13"/>
      <c r="L84" s="67">
        <v>111000</v>
      </c>
      <c r="M84" s="67">
        <f t="shared" si="57"/>
        <v>111000</v>
      </c>
      <c r="O84" s="226" t="s">
        <v>110</v>
      </c>
      <c r="P84" s="62" t="s">
        <v>105</v>
      </c>
      <c r="Q84" s="571"/>
      <c r="R84" s="9"/>
      <c r="S84" s="9"/>
      <c r="T84" s="62" t="s">
        <v>153</v>
      </c>
      <c r="U84" s="15" t="s">
        <v>237</v>
      </c>
    </row>
    <row r="85" spans="2:23" s="81" customFormat="1" ht="30">
      <c r="B85" s="91" t="s">
        <v>235</v>
      </c>
      <c r="C85" s="214" t="s">
        <v>241</v>
      </c>
      <c r="D85" s="419">
        <v>41317</v>
      </c>
      <c r="E85" s="419" t="s">
        <v>5002</v>
      </c>
      <c r="F85" s="18" t="s">
        <v>486</v>
      </c>
      <c r="G85" s="18"/>
      <c r="H85" s="67"/>
      <c r="I85" s="67"/>
      <c r="J85" s="13"/>
      <c r="K85" s="13"/>
      <c r="L85" s="67">
        <v>55000</v>
      </c>
      <c r="M85" s="67">
        <f t="shared" si="57"/>
        <v>55000</v>
      </c>
      <c r="O85" s="226" t="s">
        <v>110</v>
      </c>
      <c r="P85" s="62" t="s">
        <v>105</v>
      </c>
      <c r="Q85" s="571"/>
      <c r="R85" s="9"/>
      <c r="S85" s="9"/>
      <c r="T85" s="62" t="s">
        <v>153</v>
      </c>
      <c r="U85" s="15" t="s">
        <v>237</v>
      </c>
    </row>
    <row r="86" spans="2:23" s="81" customFormat="1" ht="30">
      <c r="B86" s="91" t="s">
        <v>235</v>
      </c>
      <c r="C86" s="214" t="s">
        <v>242</v>
      </c>
      <c r="D86" s="419">
        <v>41311</v>
      </c>
      <c r="E86" s="419" t="s">
        <v>5002</v>
      </c>
      <c r="F86" s="18" t="s">
        <v>486</v>
      </c>
      <c r="G86" s="18"/>
      <c r="H86" s="67"/>
      <c r="I86" s="67"/>
      <c r="J86" s="13"/>
      <c r="K86" s="13"/>
      <c r="L86" s="67">
        <v>20000</v>
      </c>
      <c r="M86" s="67">
        <f t="shared" si="57"/>
        <v>20000</v>
      </c>
      <c r="O86" s="226" t="s">
        <v>110</v>
      </c>
      <c r="P86" s="62" t="s">
        <v>105</v>
      </c>
      <c r="Q86" s="571"/>
      <c r="R86" s="9"/>
      <c r="S86" s="9"/>
      <c r="T86" s="62" t="s">
        <v>153</v>
      </c>
      <c r="U86" s="15" t="s">
        <v>237</v>
      </c>
    </row>
    <row r="87" spans="2:23" s="81" customFormat="1" ht="30">
      <c r="B87" s="91" t="s">
        <v>235</v>
      </c>
      <c r="C87" s="69" t="s">
        <v>243</v>
      </c>
      <c r="D87" s="419">
        <v>41311</v>
      </c>
      <c r="E87" s="419" t="s">
        <v>5002</v>
      </c>
      <c r="F87" s="18" t="s">
        <v>486</v>
      </c>
      <c r="G87" s="18"/>
      <c r="H87" s="67"/>
      <c r="I87" s="67"/>
      <c r="J87" s="13"/>
      <c r="K87" s="13"/>
      <c r="L87" s="67">
        <v>10000</v>
      </c>
      <c r="M87" s="67">
        <f t="shared" si="57"/>
        <v>10000</v>
      </c>
      <c r="O87" s="226" t="s">
        <v>110</v>
      </c>
      <c r="P87" s="62" t="s">
        <v>105</v>
      </c>
      <c r="Q87" s="571"/>
      <c r="R87" s="9"/>
      <c r="S87" s="9"/>
      <c r="T87" s="62" t="s">
        <v>153</v>
      </c>
      <c r="U87" s="15" t="s">
        <v>237</v>
      </c>
    </row>
    <row r="88" spans="2:23" s="81" customFormat="1" ht="30">
      <c r="B88" s="91" t="s">
        <v>235</v>
      </c>
      <c r="C88" s="214" t="s">
        <v>244</v>
      </c>
      <c r="D88" s="419">
        <v>41317</v>
      </c>
      <c r="E88" s="419" t="s">
        <v>5002</v>
      </c>
      <c r="F88" s="18" t="s">
        <v>486</v>
      </c>
      <c r="G88" s="18"/>
      <c r="H88" s="67"/>
      <c r="I88" s="67"/>
      <c r="J88" s="13"/>
      <c r="K88" s="13"/>
      <c r="L88" s="67">
        <f>114886.25+96100</f>
        <v>210986.25</v>
      </c>
      <c r="M88" s="67">
        <f t="shared" si="57"/>
        <v>210986.25</v>
      </c>
      <c r="O88" s="226" t="s">
        <v>110</v>
      </c>
      <c r="P88" s="62" t="s">
        <v>105</v>
      </c>
      <c r="Q88" s="571"/>
      <c r="R88" s="9"/>
      <c r="S88" s="9"/>
      <c r="T88" s="62" t="s">
        <v>153</v>
      </c>
      <c r="U88" s="15" t="s">
        <v>237</v>
      </c>
    </row>
    <row r="89" spans="2:23" s="81" customFormat="1" ht="30">
      <c r="B89" s="91" t="s">
        <v>235</v>
      </c>
      <c r="C89" s="214" t="s">
        <v>4469</v>
      </c>
      <c r="D89" s="419">
        <v>41319</v>
      </c>
      <c r="E89" s="419" t="s">
        <v>5002</v>
      </c>
      <c r="F89" s="18" t="s">
        <v>486</v>
      </c>
      <c r="G89" s="18"/>
      <c r="H89" s="67"/>
      <c r="I89" s="67"/>
      <c r="J89" s="13"/>
      <c r="K89" s="13"/>
      <c r="L89" s="67">
        <f>102000-10000</f>
        <v>92000</v>
      </c>
      <c r="M89" s="67">
        <f t="shared" si="57"/>
        <v>92000</v>
      </c>
      <c r="O89" s="226" t="s">
        <v>110</v>
      </c>
      <c r="P89" s="62" t="s">
        <v>105</v>
      </c>
      <c r="Q89" s="571"/>
      <c r="R89" s="9"/>
      <c r="S89" s="9"/>
      <c r="T89" s="62" t="s">
        <v>153</v>
      </c>
      <c r="U89" s="15" t="s">
        <v>237</v>
      </c>
      <c r="W89" s="81" t="s">
        <v>4468</v>
      </c>
    </row>
    <row r="90" spans="2:23" s="81" customFormat="1" ht="30">
      <c r="B90" s="91" t="s">
        <v>235</v>
      </c>
      <c r="C90" s="69" t="s">
        <v>245</v>
      </c>
      <c r="D90" s="419">
        <v>41324</v>
      </c>
      <c r="E90" s="419" t="s">
        <v>5002</v>
      </c>
      <c r="F90" s="18" t="s">
        <v>486</v>
      </c>
      <c r="G90" s="18"/>
      <c r="H90" s="67"/>
      <c r="I90" s="67"/>
      <c r="J90" s="13"/>
      <c r="K90" s="13"/>
      <c r="L90" s="67">
        <v>30000</v>
      </c>
      <c r="M90" s="67">
        <f t="shared" si="57"/>
        <v>30000</v>
      </c>
      <c r="O90" s="226" t="s">
        <v>110</v>
      </c>
      <c r="P90" s="62" t="s">
        <v>105</v>
      </c>
      <c r="Q90" s="571"/>
      <c r="R90" s="9"/>
      <c r="S90" s="9"/>
      <c r="T90" s="62" t="s">
        <v>153</v>
      </c>
      <c r="U90" s="15" t="s">
        <v>237</v>
      </c>
    </row>
    <row r="91" spans="2:23" s="81" customFormat="1" ht="30">
      <c r="B91" s="91" t="s">
        <v>235</v>
      </c>
      <c r="C91" s="214" t="s">
        <v>246</v>
      </c>
      <c r="D91" s="419">
        <v>41325</v>
      </c>
      <c r="E91" s="419" t="s">
        <v>5002</v>
      </c>
      <c r="F91" s="18" t="s">
        <v>486</v>
      </c>
      <c r="G91" s="18"/>
      <c r="H91" s="67"/>
      <c r="I91" s="67"/>
      <c r="J91" s="13"/>
      <c r="K91" s="13"/>
      <c r="L91" s="67">
        <v>100000</v>
      </c>
      <c r="M91" s="67">
        <f t="shared" si="57"/>
        <v>100000</v>
      </c>
      <c r="O91" s="226" t="s">
        <v>110</v>
      </c>
      <c r="P91" s="62" t="s">
        <v>105</v>
      </c>
      <c r="Q91" s="571"/>
      <c r="R91" s="9"/>
      <c r="S91" s="9"/>
      <c r="T91" s="62" t="s">
        <v>153</v>
      </c>
      <c r="U91" s="15" t="s">
        <v>237</v>
      </c>
    </row>
    <row r="92" spans="2:23" s="81" customFormat="1" ht="30">
      <c r="B92" s="91" t="s">
        <v>235</v>
      </c>
      <c r="C92" s="69" t="s">
        <v>247</v>
      </c>
      <c r="D92" s="419">
        <v>41326</v>
      </c>
      <c r="E92" s="419" t="s">
        <v>5002</v>
      </c>
      <c r="F92" s="18" t="s">
        <v>486</v>
      </c>
      <c r="G92" s="18"/>
      <c r="H92" s="67"/>
      <c r="I92" s="67"/>
      <c r="J92" s="13"/>
      <c r="K92" s="13"/>
      <c r="L92" s="67">
        <v>5000</v>
      </c>
      <c r="M92" s="67">
        <f t="shared" si="57"/>
        <v>5000</v>
      </c>
      <c r="O92" s="226" t="s">
        <v>110</v>
      </c>
      <c r="P92" s="62" t="s">
        <v>105</v>
      </c>
      <c r="Q92" s="571"/>
      <c r="R92" s="9"/>
      <c r="S92" s="9"/>
      <c r="T92" s="62" t="s">
        <v>153</v>
      </c>
      <c r="U92" s="15" t="s">
        <v>237</v>
      </c>
    </row>
    <row r="93" spans="2:23" s="81" customFormat="1" ht="30">
      <c r="B93" s="91" t="s">
        <v>235</v>
      </c>
      <c r="C93" s="214" t="s">
        <v>249</v>
      </c>
      <c r="D93" s="419">
        <v>41330</v>
      </c>
      <c r="E93" s="419" t="s">
        <v>5002</v>
      </c>
      <c r="F93" s="18" t="s">
        <v>486</v>
      </c>
      <c r="G93" s="18"/>
      <c r="H93" s="67"/>
      <c r="I93" s="67"/>
      <c r="J93" s="13"/>
      <c r="K93" s="13"/>
      <c r="L93" s="67">
        <v>100000</v>
      </c>
      <c r="M93" s="67">
        <f t="shared" si="57"/>
        <v>100000</v>
      </c>
      <c r="O93" s="226" t="s">
        <v>110</v>
      </c>
      <c r="P93" s="62" t="s">
        <v>105</v>
      </c>
      <c r="Q93" s="571"/>
      <c r="R93" s="9"/>
      <c r="S93" s="9"/>
      <c r="T93" s="62" t="s">
        <v>153</v>
      </c>
      <c r="U93" s="15" t="s">
        <v>237</v>
      </c>
    </row>
    <row r="94" spans="2:23" s="81" customFormat="1" ht="30">
      <c r="B94" s="91" t="s">
        <v>235</v>
      </c>
      <c r="C94" s="214" t="s">
        <v>250</v>
      </c>
      <c r="D94" s="419">
        <v>41333</v>
      </c>
      <c r="E94" s="419" t="s">
        <v>5002</v>
      </c>
      <c r="F94" s="18" t="s">
        <v>486</v>
      </c>
      <c r="G94" s="18"/>
      <c r="H94" s="67"/>
      <c r="I94" s="67"/>
      <c r="J94" s="13"/>
      <c r="K94" s="13"/>
      <c r="L94" s="67">
        <v>21000</v>
      </c>
      <c r="M94" s="67">
        <f t="shared" si="57"/>
        <v>21000</v>
      </c>
      <c r="O94" s="226" t="s">
        <v>110</v>
      </c>
      <c r="P94" s="62" t="s">
        <v>105</v>
      </c>
      <c r="Q94" s="571"/>
      <c r="R94" s="9"/>
      <c r="S94" s="9"/>
      <c r="T94" s="62" t="s">
        <v>153</v>
      </c>
      <c r="U94" s="15" t="s">
        <v>237</v>
      </c>
    </row>
    <row r="95" spans="2:23" s="81" customFormat="1" ht="30">
      <c r="B95" s="91" t="s">
        <v>235</v>
      </c>
      <c r="C95" s="214" t="s">
        <v>251</v>
      </c>
      <c r="D95" s="419">
        <v>41333</v>
      </c>
      <c r="E95" s="419" t="s">
        <v>5002</v>
      </c>
      <c r="F95" s="18" t="s">
        <v>486</v>
      </c>
      <c r="G95" s="18"/>
      <c r="H95" s="67"/>
      <c r="I95" s="67"/>
      <c r="J95" s="13"/>
      <c r="K95" s="13"/>
      <c r="L95" s="67">
        <v>100000</v>
      </c>
      <c r="M95" s="67">
        <f t="shared" si="57"/>
        <v>100000</v>
      </c>
      <c r="O95" s="226" t="s">
        <v>110</v>
      </c>
      <c r="P95" s="62" t="s">
        <v>105</v>
      </c>
      <c r="Q95" s="571"/>
      <c r="R95" s="9"/>
      <c r="S95" s="9"/>
      <c r="T95" s="62" t="s">
        <v>153</v>
      </c>
      <c r="U95" s="15" t="s">
        <v>237</v>
      </c>
    </row>
    <row r="96" spans="2:23" s="81" customFormat="1" ht="30">
      <c r="B96" s="91" t="s">
        <v>235</v>
      </c>
      <c r="C96" s="214" t="s">
        <v>252</v>
      </c>
      <c r="D96" s="419">
        <v>41338</v>
      </c>
      <c r="E96" s="419" t="s">
        <v>5002</v>
      </c>
      <c r="F96" s="18" t="s">
        <v>486</v>
      </c>
      <c r="G96" s="18"/>
      <c r="H96" s="67"/>
      <c r="I96" s="67"/>
      <c r="J96" s="13"/>
      <c r="K96" s="13"/>
      <c r="L96" s="67">
        <v>3900</v>
      </c>
      <c r="M96" s="67">
        <f t="shared" si="57"/>
        <v>3900</v>
      </c>
      <c r="O96" s="226" t="s">
        <v>110</v>
      </c>
      <c r="P96" s="62" t="s">
        <v>105</v>
      </c>
      <c r="Q96" s="571"/>
      <c r="R96" s="9"/>
      <c r="S96" s="9"/>
      <c r="T96" s="62" t="s">
        <v>153</v>
      </c>
      <c r="U96" s="15" t="s">
        <v>237</v>
      </c>
    </row>
    <row r="97" spans="2:21" s="81" customFormat="1" ht="30">
      <c r="B97" s="91" t="s">
        <v>235</v>
      </c>
      <c r="C97" s="214" t="s">
        <v>253</v>
      </c>
      <c r="D97" s="419">
        <v>41337</v>
      </c>
      <c r="E97" s="419" t="s">
        <v>5002</v>
      </c>
      <c r="F97" s="18" t="s">
        <v>486</v>
      </c>
      <c r="G97" s="18"/>
      <c r="H97" s="67"/>
      <c r="I97" s="67"/>
      <c r="J97" s="13"/>
      <c r="K97" s="13"/>
      <c r="L97" s="67">
        <v>245000</v>
      </c>
      <c r="M97" s="67">
        <f t="shared" si="57"/>
        <v>245000</v>
      </c>
      <c r="O97" s="226" t="s">
        <v>110</v>
      </c>
      <c r="P97" s="62" t="s">
        <v>105</v>
      </c>
      <c r="Q97" s="571"/>
      <c r="R97" s="9"/>
      <c r="S97" s="9"/>
      <c r="T97" s="62" t="s">
        <v>153</v>
      </c>
      <c r="U97" s="15" t="s">
        <v>237</v>
      </c>
    </row>
    <row r="98" spans="2:21" s="81" customFormat="1" ht="30">
      <c r="B98" s="91" t="s">
        <v>235</v>
      </c>
      <c r="C98" s="69" t="s">
        <v>254</v>
      </c>
      <c r="D98" s="419">
        <v>41337</v>
      </c>
      <c r="E98" s="419" t="s">
        <v>5002</v>
      </c>
      <c r="F98" s="18" t="s">
        <v>486</v>
      </c>
      <c r="G98" s="18"/>
      <c r="H98" s="67"/>
      <c r="I98" s="67"/>
      <c r="J98" s="13"/>
      <c r="K98" s="13"/>
      <c r="L98" s="67">
        <v>10000</v>
      </c>
      <c r="M98" s="67">
        <f t="shared" si="57"/>
        <v>10000</v>
      </c>
      <c r="O98" s="226" t="s">
        <v>110</v>
      </c>
      <c r="P98" s="62" t="s">
        <v>105</v>
      </c>
      <c r="Q98" s="571"/>
      <c r="R98" s="9"/>
      <c r="S98" s="9"/>
      <c r="T98" s="62" t="s">
        <v>153</v>
      </c>
      <c r="U98" s="15" t="s">
        <v>237</v>
      </c>
    </row>
    <row r="99" spans="2:21" s="81" customFormat="1" ht="30">
      <c r="B99" s="91" t="s">
        <v>235</v>
      </c>
      <c r="C99" s="214" t="s">
        <v>255</v>
      </c>
      <c r="D99" s="419">
        <v>41338</v>
      </c>
      <c r="E99" s="419" t="s">
        <v>5002</v>
      </c>
      <c r="F99" s="18" t="s">
        <v>486</v>
      </c>
      <c r="G99" s="18"/>
      <c r="H99" s="67"/>
      <c r="I99" s="67"/>
      <c r="J99" s="13"/>
      <c r="K99" s="13"/>
      <c r="L99" s="67">
        <v>115000</v>
      </c>
      <c r="M99" s="67">
        <f t="shared" si="57"/>
        <v>115000</v>
      </c>
      <c r="O99" s="226" t="s">
        <v>110</v>
      </c>
      <c r="P99" s="62" t="s">
        <v>105</v>
      </c>
      <c r="Q99" s="571"/>
      <c r="R99" s="9"/>
      <c r="S99" s="9"/>
      <c r="T99" s="62" t="s">
        <v>153</v>
      </c>
      <c r="U99" s="15" t="s">
        <v>237</v>
      </c>
    </row>
    <row r="100" spans="2:21" s="81" customFormat="1" ht="30">
      <c r="B100" s="91" t="s">
        <v>235</v>
      </c>
      <c r="C100" s="214" t="s">
        <v>256</v>
      </c>
      <c r="D100" s="419">
        <v>41339</v>
      </c>
      <c r="E100" s="419" t="s">
        <v>5002</v>
      </c>
      <c r="F100" s="18" t="s">
        <v>486</v>
      </c>
      <c r="G100" s="18"/>
      <c r="H100" s="67"/>
      <c r="I100" s="67"/>
      <c r="J100" s="13"/>
      <c r="K100" s="13"/>
      <c r="L100" s="67">
        <v>20000</v>
      </c>
      <c r="M100" s="67">
        <f t="shared" si="57"/>
        <v>20000</v>
      </c>
      <c r="O100" s="226" t="s">
        <v>110</v>
      </c>
      <c r="P100" s="62" t="s">
        <v>105</v>
      </c>
      <c r="Q100" s="571"/>
      <c r="R100" s="9"/>
      <c r="S100" s="9"/>
      <c r="T100" s="62" t="s">
        <v>153</v>
      </c>
      <c r="U100" s="15" t="s">
        <v>237</v>
      </c>
    </row>
    <row r="101" spans="2:21" s="81" customFormat="1" ht="30">
      <c r="B101" s="91" t="s">
        <v>235</v>
      </c>
      <c r="C101" s="214" t="s">
        <v>257</v>
      </c>
      <c r="D101" s="419">
        <v>41341</v>
      </c>
      <c r="E101" s="419" t="s">
        <v>5002</v>
      </c>
      <c r="F101" s="18" t="s">
        <v>486</v>
      </c>
      <c r="G101" s="18"/>
      <c r="H101" s="67"/>
      <c r="I101" s="67"/>
      <c r="J101" s="13"/>
      <c r="K101" s="13"/>
      <c r="L101" s="67">
        <v>95500</v>
      </c>
      <c r="M101" s="67">
        <f t="shared" si="57"/>
        <v>95500</v>
      </c>
      <c r="O101" s="226" t="s">
        <v>110</v>
      </c>
      <c r="P101" s="62" t="s">
        <v>105</v>
      </c>
      <c r="Q101" s="571"/>
      <c r="R101" s="9"/>
      <c r="S101" s="9"/>
      <c r="T101" s="62" t="s">
        <v>153</v>
      </c>
      <c r="U101" s="15" t="s">
        <v>237</v>
      </c>
    </row>
    <row r="102" spans="2:21" s="81" customFormat="1" ht="30">
      <c r="B102" s="91" t="s">
        <v>235</v>
      </c>
      <c r="C102" s="69" t="s">
        <v>258</v>
      </c>
      <c r="D102" s="419">
        <v>41345</v>
      </c>
      <c r="E102" s="419" t="s">
        <v>5002</v>
      </c>
      <c r="F102" s="18" t="s">
        <v>486</v>
      </c>
      <c r="G102" s="18"/>
      <c r="H102" s="67"/>
      <c r="I102" s="67"/>
      <c r="J102" s="13"/>
      <c r="K102" s="13"/>
      <c r="L102" s="67">
        <v>5000</v>
      </c>
      <c r="M102" s="67">
        <f t="shared" si="57"/>
        <v>5000</v>
      </c>
      <c r="O102" s="226" t="s">
        <v>110</v>
      </c>
      <c r="P102" s="62" t="s">
        <v>105</v>
      </c>
      <c r="Q102" s="571"/>
      <c r="R102" s="9"/>
      <c r="S102" s="9"/>
      <c r="T102" s="62" t="s">
        <v>153</v>
      </c>
      <c r="U102" s="15" t="s">
        <v>237</v>
      </c>
    </row>
    <row r="103" spans="2:21" s="81" customFormat="1" ht="30">
      <c r="B103" s="91" t="s">
        <v>235</v>
      </c>
      <c r="C103" s="214" t="s">
        <v>259</v>
      </c>
      <c r="D103" s="419">
        <v>41341</v>
      </c>
      <c r="E103" s="419" t="s">
        <v>5002</v>
      </c>
      <c r="F103" s="18" t="s">
        <v>486</v>
      </c>
      <c r="G103" s="18"/>
      <c r="H103" s="67"/>
      <c r="I103" s="67"/>
      <c r="J103" s="13"/>
      <c r="K103" s="13"/>
      <c r="L103" s="67">
        <v>2800</v>
      </c>
      <c r="M103" s="67">
        <f t="shared" si="57"/>
        <v>2800</v>
      </c>
      <c r="O103" s="226" t="s">
        <v>110</v>
      </c>
      <c r="P103" s="62" t="s">
        <v>105</v>
      </c>
      <c r="Q103" s="571"/>
      <c r="R103" s="9"/>
      <c r="S103" s="9"/>
      <c r="T103" s="62" t="s">
        <v>153</v>
      </c>
      <c r="U103" s="15" t="s">
        <v>237</v>
      </c>
    </row>
    <row r="104" spans="2:21" s="81" customFormat="1" ht="30">
      <c r="B104" s="91" t="s">
        <v>235</v>
      </c>
      <c r="C104" s="69" t="s">
        <v>260</v>
      </c>
      <c r="D104" s="419">
        <v>41347</v>
      </c>
      <c r="E104" s="419" t="s">
        <v>5002</v>
      </c>
      <c r="F104" s="18" t="s">
        <v>486</v>
      </c>
      <c r="G104" s="18"/>
      <c r="H104" s="67"/>
      <c r="I104" s="67"/>
      <c r="J104" s="13"/>
      <c r="K104" s="13"/>
      <c r="L104" s="67">
        <v>3000</v>
      </c>
      <c r="M104" s="67">
        <f t="shared" si="57"/>
        <v>3000</v>
      </c>
      <c r="O104" s="226" t="s">
        <v>110</v>
      </c>
      <c r="P104" s="62" t="s">
        <v>105</v>
      </c>
      <c r="Q104" s="571"/>
      <c r="R104" s="9"/>
      <c r="S104" s="9"/>
      <c r="T104" s="62" t="s">
        <v>153</v>
      </c>
      <c r="U104" s="15" t="s">
        <v>237</v>
      </c>
    </row>
    <row r="105" spans="2:21" s="81" customFormat="1" ht="30">
      <c r="B105" s="91" t="s">
        <v>235</v>
      </c>
      <c r="C105" s="69" t="s">
        <v>261</v>
      </c>
      <c r="D105" s="419">
        <v>41354</v>
      </c>
      <c r="E105" s="419" t="s">
        <v>5002</v>
      </c>
      <c r="F105" s="18" t="s">
        <v>486</v>
      </c>
      <c r="G105" s="18"/>
      <c r="H105" s="67"/>
      <c r="I105" s="67"/>
      <c r="J105" s="13"/>
      <c r="K105" s="13"/>
      <c r="L105" s="67">
        <v>7000</v>
      </c>
      <c r="M105" s="67">
        <f t="shared" si="57"/>
        <v>7000</v>
      </c>
      <c r="O105" s="226" t="s">
        <v>110</v>
      </c>
      <c r="P105" s="62" t="s">
        <v>105</v>
      </c>
      <c r="Q105" s="571"/>
      <c r="R105" s="9"/>
      <c r="S105" s="9"/>
      <c r="T105" s="62" t="s">
        <v>153</v>
      </c>
      <c r="U105" s="15" t="s">
        <v>237</v>
      </c>
    </row>
    <row r="106" spans="2:21" s="81" customFormat="1" ht="30">
      <c r="B106" s="91" t="s">
        <v>235</v>
      </c>
      <c r="C106" s="69" t="s">
        <v>262</v>
      </c>
      <c r="D106" s="419">
        <v>41351</v>
      </c>
      <c r="E106" s="419" t="s">
        <v>5002</v>
      </c>
      <c r="F106" s="18" t="s">
        <v>486</v>
      </c>
      <c r="G106" s="18"/>
      <c r="H106" s="67"/>
      <c r="I106" s="67"/>
      <c r="J106" s="13"/>
      <c r="K106" s="13"/>
      <c r="L106" s="67">
        <v>7000</v>
      </c>
      <c r="M106" s="67">
        <f t="shared" si="57"/>
        <v>7000</v>
      </c>
      <c r="O106" s="226" t="s">
        <v>110</v>
      </c>
      <c r="P106" s="62" t="s">
        <v>105</v>
      </c>
      <c r="Q106" s="571"/>
      <c r="R106" s="9"/>
      <c r="S106" s="9"/>
      <c r="T106" s="62" t="s">
        <v>153</v>
      </c>
      <c r="U106" s="15" t="s">
        <v>237</v>
      </c>
    </row>
    <row r="107" spans="2:21" s="81" customFormat="1" ht="30">
      <c r="B107" s="91" t="s">
        <v>235</v>
      </c>
      <c r="C107" s="214" t="s">
        <v>263</v>
      </c>
      <c r="D107" s="419">
        <v>41353</v>
      </c>
      <c r="E107" s="419" t="s">
        <v>5002</v>
      </c>
      <c r="F107" s="18" t="s">
        <v>486</v>
      </c>
      <c r="G107" s="18"/>
      <c r="H107" s="67"/>
      <c r="I107" s="67"/>
      <c r="J107" s="13"/>
      <c r="K107" s="13"/>
      <c r="L107" s="67">
        <v>77748.5</v>
      </c>
      <c r="M107" s="67">
        <f t="shared" si="57"/>
        <v>77748.5</v>
      </c>
      <c r="O107" s="226" t="s">
        <v>110</v>
      </c>
      <c r="P107" s="62" t="s">
        <v>105</v>
      </c>
      <c r="Q107" s="571"/>
      <c r="R107" s="9"/>
      <c r="S107" s="9"/>
      <c r="T107" s="62" t="s">
        <v>153</v>
      </c>
      <c r="U107" s="15" t="s">
        <v>237</v>
      </c>
    </row>
    <row r="108" spans="2:21" s="81" customFormat="1" ht="30">
      <c r="B108" s="91" t="s">
        <v>235</v>
      </c>
      <c r="C108" s="214" t="s">
        <v>264</v>
      </c>
      <c r="D108" s="419">
        <v>41353</v>
      </c>
      <c r="E108" s="419" t="s">
        <v>5002</v>
      </c>
      <c r="F108" s="18" t="s">
        <v>486</v>
      </c>
      <c r="G108" s="18"/>
      <c r="H108" s="67"/>
      <c r="I108" s="67"/>
      <c r="J108" s="13"/>
      <c r="K108" s="13"/>
      <c r="L108" s="67">
        <v>222200</v>
      </c>
      <c r="M108" s="67">
        <f t="shared" si="57"/>
        <v>222200</v>
      </c>
      <c r="O108" s="226" t="s">
        <v>110</v>
      </c>
      <c r="P108" s="62" t="s">
        <v>105</v>
      </c>
      <c r="Q108" s="571"/>
      <c r="R108" s="9"/>
      <c r="S108" s="9"/>
      <c r="T108" s="62" t="s">
        <v>153</v>
      </c>
      <c r="U108" s="15" t="s">
        <v>237</v>
      </c>
    </row>
    <row r="109" spans="2:21" s="81" customFormat="1" ht="45">
      <c r="B109" s="91" t="s">
        <v>235</v>
      </c>
      <c r="C109" s="214" t="s">
        <v>265</v>
      </c>
      <c r="D109" s="419">
        <v>41355</v>
      </c>
      <c r="E109" s="419" t="s">
        <v>5002</v>
      </c>
      <c r="F109" s="18" t="s">
        <v>486</v>
      </c>
      <c r="G109" s="18"/>
      <c r="H109" s="67"/>
      <c r="I109" s="67"/>
      <c r="J109" s="13"/>
      <c r="K109" s="13"/>
      <c r="L109" s="67">
        <v>71000</v>
      </c>
      <c r="M109" s="67">
        <f t="shared" si="57"/>
        <v>71000</v>
      </c>
      <c r="O109" s="226" t="s">
        <v>110</v>
      </c>
      <c r="P109" s="62" t="s">
        <v>105</v>
      </c>
      <c r="Q109" s="571"/>
      <c r="R109" s="9"/>
      <c r="S109" s="9"/>
      <c r="T109" s="62" t="s">
        <v>153</v>
      </c>
      <c r="U109" s="15" t="s">
        <v>237</v>
      </c>
    </row>
    <row r="110" spans="2:21" s="81" customFormat="1" ht="30">
      <c r="B110" s="91" t="s">
        <v>235</v>
      </c>
      <c r="C110" s="214" t="s">
        <v>267</v>
      </c>
      <c r="D110" s="419">
        <v>41359</v>
      </c>
      <c r="E110" s="419" t="s">
        <v>5002</v>
      </c>
      <c r="F110" s="18" t="s">
        <v>486</v>
      </c>
      <c r="G110" s="18"/>
      <c r="H110" s="67"/>
      <c r="I110" s="67"/>
      <c r="J110" s="13"/>
      <c r="K110" s="13"/>
      <c r="L110" s="67">
        <v>7100</v>
      </c>
      <c r="M110" s="67">
        <f t="shared" si="57"/>
        <v>7100</v>
      </c>
      <c r="O110" s="226" t="s">
        <v>110</v>
      </c>
      <c r="P110" s="62" t="s">
        <v>105</v>
      </c>
      <c r="Q110" s="571"/>
      <c r="R110" s="9"/>
      <c r="S110" s="9"/>
      <c r="T110" s="62" t="s">
        <v>153</v>
      </c>
      <c r="U110" s="15" t="s">
        <v>237</v>
      </c>
    </row>
    <row r="111" spans="2:21" s="81" customFormat="1" ht="30">
      <c r="B111" s="91" t="s">
        <v>235</v>
      </c>
      <c r="C111" s="214" t="s">
        <v>268</v>
      </c>
      <c r="D111" s="419">
        <v>41422</v>
      </c>
      <c r="E111" s="419" t="s">
        <v>5002</v>
      </c>
      <c r="F111" s="18" t="s">
        <v>486</v>
      </c>
      <c r="G111" s="18"/>
      <c r="H111" s="67"/>
      <c r="I111" s="67"/>
      <c r="J111" s="13"/>
      <c r="K111" s="13"/>
      <c r="L111" s="67">
        <v>6800</v>
      </c>
      <c r="M111" s="67">
        <f t="shared" si="57"/>
        <v>6800</v>
      </c>
      <c r="O111" s="226" t="s">
        <v>110</v>
      </c>
      <c r="P111" s="62" t="s">
        <v>105</v>
      </c>
      <c r="Q111" s="571"/>
      <c r="R111" s="9"/>
      <c r="S111" s="9"/>
      <c r="T111" s="62" t="s">
        <v>153</v>
      </c>
      <c r="U111" s="15" t="s">
        <v>237</v>
      </c>
    </row>
    <row r="112" spans="2:21" s="81" customFormat="1" ht="30">
      <c r="B112" s="89" t="s">
        <v>269</v>
      </c>
      <c r="C112" s="69" t="s">
        <v>270</v>
      </c>
      <c r="D112" s="419">
        <v>41439</v>
      </c>
      <c r="E112" s="419" t="s">
        <v>5002</v>
      </c>
      <c r="F112" s="18" t="s">
        <v>486</v>
      </c>
      <c r="G112" s="18"/>
      <c r="H112" s="67"/>
      <c r="I112" s="67"/>
      <c r="J112" s="13"/>
      <c r="K112" s="13"/>
      <c r="L112" s="67">
        <v>-42000</v>
      </c>
      <c r="M112" s="67">
        <f t="shared" si="57"/>
        <v>-42000</v>
      </c>
      <c r="O112" s="226" t="s">
        <v>110</v>
      </c>
      <c r="P112" s="62" t="s">
        <v>105</v>
      </c>
      <c r="Q112" s="571"/>
      <c r="R112" s="9"/>
      <c r="S112" s="9"/>
      <c r="T112" s="62" t="s">
        <v>153</v>
      </c>
      <c r="U112" s="15" t="s">
        <v>237</v>
      </c>
    </row>
    <row r="113" spans="2:26" s="81" customFormat="1" ht="30">
      <c r="B113" s="91" t="s">
        <v>235</v>
      </c>
      <c r="C113" s="69" t="s">
        <v>271</v>
      </c>
      <c r="D113" s="419">
        <v>41439</v>
      </c>
      <c r="E113" s="419" t="s">
        <v>5002</v>
      </c>
      <c r="F113" s="18" t="s">
        <v>486</v>
      </c>
      <c r="G113" s="18"/>
      <c r="H113" s="67"/>
      <c r="I113" s="67"/>
      <c r="J113" s="13"/>
      <c r="K113" s="13"/>
      <c r="L113" s="67">
        <v>42000</v>
      </c>
      <c r="M113" s="67">
        <f t="shared" si="57"/>
        <v>42000</v>
      </c>
      <c r="O113" s="226" t="s">
        <v>110</v>
      </c>
      <c r="P113" s="62" t="s">
        <v>105</v>
      </c>
      <c r="Q113" s="571"/>
      <c r="R113" s="9"/>
      <c r="S113" s="9"/>
      <c r="T113" s="62" t="s">
        <v>153</v>
      </c>
      <c r="U113" s="15" t="s">
        <v>237</v>
      </c>
    </row>
    <row r="114" spans="2:26" s="81" customFormat="1" ht="30">
      <c r="B114" s="91" t="s">
        <v>235</v>
      </c>
      <c r="C114" s="69" t="s">
        <v>272</v>
      </c>
      <c r="D114" s="419">
        <v>41442</v>
      </c>
      <c r="E114" s="419" t="s">
        <v>5002</v>
      </c>
      <c r="F114" s="18" t="s">
        <v>486</v>
      </c>
      <c r="G114" s="18"/>
      <c r="H114" s="67"/>
      <c r="I114" s="67"/>
      <c r="J114" s="13"/>
      <c r="K114" s="13"/>
      <c r="L114" s="67">
        <v>10000</v>
      </c>
      <c r="M114" s="67">
        <f t="shared" si="57"/>
        <v>10000</v>
      </c>
      <c r="O114" s="226" t="s">
        <v>110</v>
      </c>
      <c r="P114" s="62" t="s">
        <v>105</v>
      </c>
      <c r="Q114" s="571"/>
      <c r="R114" s="9"/>
      <c r="S114" s="9"/>
      <c r="T114" s="62" t="s">
        <v>153</v>
      </c>
      <c r="U114" s="15" t="s">
        <v>237</v>
      </c>
    </row>
    <row r="115" spans="2:26" s="81" customFormat="1" ht="30">
      <c r="B115" s="89" t="s">
        <v>273</v>
      </c>
      <c r="C115" s="69" t="s">
        <v>274</v>
      </c>
      <c r="D115" s="419">
        <v>41457</v>
      </c>
      <c r="E115" s="419" t="s">
        <v>5002</v>
      </c>
      <c r="F115" s="18" t="s">
        <v>486</v>
      </c>
      <c r="G115" s="18"/>
      <c r="H115" s="67"/>
      <c r="I115" s="67"/>
      <c r="J115" s="13"/>
      <c r="K115" s="13"/>
      <c r="L115" s="67">
        <v>-1400</v>
      </c>
      <c r="M115" s="67">
        <f t="shared" si="57"/>
        <v>-1400</v>
      </c>
      <c r="O115" s="226" t="s">
        <v>110</v>
      </c>
      <c r="P115" s="62" t="s">
        <v>105</v>
      </c>
      <c r="Q115" s="571"/>
      <c r="R115" s="9"/>
      <c r="S115" s="9"/>
      <c r="T115" s="62" t="s">
        <v>153</v>
      </c>
      <c r="U115" s="15" t="s">
        <v>237</v>
      </c>
    </row>
    <row r="116" spans="2:26" s="81" customFormat="1" ht="30">
      <c r="B116" s="91" t="s">
        <v>235</v>
      </c>
      <c r="C116" s="69" t="s">
        <v>275</v>
      </c>
      <c r="D116" s="419">
        <v>41457</v>
      </c>
      <c r="E116" s="419" t="s">
        <v>5002</v>
      </c>
      <c r="F116" s="18" t="s">
        <v>486</v>
      </c>
      <c r="G116" s="18"/>
      <c r="H116" s="67"/>
      <c r="I116" s="67"/>
      <c r="J116" s="13"/>
      <c r="K116" s="13"/>
      <c r="L116" s="67">
        <v>1400</v>
      </c>
      <c r="M116" s="67">
        <f t="shared" si="57"/>
        <v>1400</v>
      </c>
      <c r="O116" s="226" t="s">
        <v>110</v>
      </c>
      <c r="P116" s="62" t="s">
        <v>105</v>
      </c>
      <c r="Q116" s="571"/>
      <c r="R116" s="9"/>
      <c r="S116" s="9"/>
      <c r="T116" s="62" t="s">
        <v>153</v>
      </c>
      <c r="U116" s="15" t="s">
        <v>237</v>
      </c>
    </row>
    <row r="117" spans="2:26" s="81" customFormat="1" ht="15">
      <c r="B117" s="91"/>
      <c r="C117" s="69"/>
      <c r="D117" s="419"/>
      <c r="E117" s="419"/>
      <c r="F117" s="18"/>
      <c r="G117" s="18"/>
      <c r="H117" s="67"/>
      <c r="I117" s="67"/>
      <c r="J117" s="13"/>
      <c r="K117" s="13"/>
      <c r="L117" s="67"/>
      <c r="M117" s="67"/>
      <c r="O117" s="152"/>
      <c r="P117" s="62"/>
      <c r="Q117" s="571"/>
      <c r="R117" s="9"/>
      <c r="S117" s="9"/>
      <c r="T117" s="62"/>
      <c r="U117" s="15"/>
    </row>
    <row r="118" spans="2:26" s="81" customFormat="1" ht="15">
      <c r="B118" s="187" t="s">
        <v>70</v>
      </c>
      <c r="C118" s="62"/>
      <c r="D118" s="419"/>
      <c r="E118" s="419"/>
      <c r="F118" s="83"/>
      <c r="G118" s="83"/>
      <c r="H118" s="85"/>
      <c r="I118" s="85"/>
      <c r="J118" s="200">
        <f>J119</f>
        <v>0</v>
      </c>
      <c r="K118" s="200">
        <f t="shared" ref="K118:M118" si="58">K119</f>
        <v>38750</v>
      </c>
      <c r="L118" s="200">
        <f t="shared" si="58"/>
        <v>0</v>
      </c>
      <c r="M118" s="200">
        <f t="shared" si="58"/>
        <v>38750</v>
      </c>
      <c r="O118" s="152"/>
      <c r="P118" s="62"/>
      <c r="Q118" s="200">
        <f t="shared" ref="Q118:R118" si="59">Q119</f>
        <v>0</v>
      </c>
      <c r="R118" s="7">
        <f t="shared" si="59"/>
        <v>0</v>
      </c>
      <c r="S118" s="9"/>
      <c r="T118" s="62"/>
      <c r="U118" s="15"/>
    </row>
    <row r="119" spans="2:26" s="30" customFormat="1" ht="15">
      <c r="B119" s="1031" t="s">
        <v>11</v>
      </c>
      <c r="C119" s="252"/>
      <c r="D119" s="621"/>
      <c r="E119" s="621"/>
      <c r="F119" s="249"/>
      <c r="G119" s="250"/>
      <c r="H119" s="486"/>
      <c r="I119" s="486"/>
      <c r="J119" s="271">
        <f>SUM(J120:J130)</f>
        <v>0</v>
      </c>
      <c r="K119" s="271">
        <f t="shared" ref="K119:M119" si="60">SUM(K120:K130)</f>
        <v>38750</v>
      </c>
      <c r="L119" s="271">
        <f t="shared" si="60"/>
        <v>0</v>
      </c>
      <c r="M119" s="271">
        <f t="shared" si="60"/>
        <v>38750</v>
      </c>
      <c r="O119" s="43"/>
      <c r="P119" s="32"/>
      <c r="Q119" s="763">
        <f t="shared" ref="Q119:R119" si="61">SUM(Q120:Q130)</f>
        <v>0</v>
      </c>
      <c r="R119" s="1045">
        <f t="shared" si="61"/>
        <v>0</v>
      </c>
      <c r="S119" s="478"/>
      <c r="T119" s="329"/>
      <c r="U119" s="32"/>
      <c r="V119" s="12"/>
    </row>
    <row r="120" spans="2:26" s="272" customFormat="1" ht="30" customHeight="1">
      <c r="B120" s="1282" t="s">
        <v>276</v>
      </c>
      <c r="C120" s="153" t="s">
        <v>277</v>
      </c>
      <c r="D120" s="419">
        <v>41313</v>
      </c>
      <c r="E120" s="419" t="s">
        <v>5749</v>
      </c>
      <c r="F120" s="1284" t="s">
        <v>5498</v>
      </c>
      <c r="G120" s="1103"/>
      <c r="H120" s="186"/>
      <c r="I120" s="186"/>
      <c r="J120" s="186"/>
      <c r="K120" s="186">
        <v>3000</v>
      </c>
      <c r="L120" s="186"/>
      <c r="M120" s="186">
        <f t="shared" ref="M120:M130" si="62">SUM(J120:L120)</f>
        <v>3000</v>
      </c>
      <c r="N120" s="184"/>
      <c r="O120" s="226" t="s">
        <v>110</v>
      </c>
      <c r="P120" s="62" t="s">
        <v>105</v>
      </c>
      <c r="Q120" s="184"/>
      <c r="R120" s="184"/>
      <c r="S120" s="184"/>
      <c r="T120" s="230" t="s">
        <v>153</v>
      </c>
      <c r="U120" s="203" t="s">
        <v>278</v>
      </c>
      <c r="Z120" s="273"/>
    </row>
    <row r="121" spans="2:26" s="272" customFormat="1" ht="18" customHeight="1">
      <c r="B121" s="1282"/>
      <c r="C121" s="153" t="s">
        <v>279</v>
      </c>
      <c r="D121" s="419">
        <v>41317</v>
      </c>
      <c r="E121" s="419"/>
      <c r="F121" s="1284"/>
      <c r="G121" s="1103"/>
      <c r="H121" s="186"/>
      <c r="I121" s="186"/>
      <c r="J121" s="186"/>
      <c r="K121" s="186">
        <v>3500</v>
      </c>
      <c r="L121" s="186"/>
      <c r="M121" s="186">
        <f t="shared" si="62"/>
        <v>3500</v>
      </c>
      <c r="N121" s="184"/>
      <c r="O121" s="226" t="s">
        <v>110</v>
      </c>
      <c r="P121" s="62" t="s">
        <v>105</v>
      </c>
      <c r="Q121" s="184"/>
      <c r="R121" s="184"/>
      <c r="S121" s="184"/>
      <c r="T121" s="230"/>
      <c r="U121" s="203" t="s">
        <v>278</v>
      </c>
      <c r="Z121" s="273"/>
    </row>
    <row r="122" spans="2:26" s="272" customFormat="1" ht="18" customHeight="1">
      <c r="B122" s="1282"/>
      <c r="C122" s="153" t="s">
        <v>280</v>
      </c>
      <c r="D122" s="419">
        <v>41317</v>
      </c>
      <c r="E122" s="419"/>
      <c r="F122" s="1284"/>
      <c r="G122" s="1103"/>
      <c r="H122" s="186"/>
      <c r="I122" s="186"/>
      <c r="J122" s="186"/>
      <c r="K122" s="186">
        <v>3500</v>
      </c>
      <c r="L122" s="186"/>
      <c r="M122" s="186">
        <f t="shared" si="62"/>
        <v>3500</v>
      </c>
      <c r="N122" s="184"/>
      <c r="O122" s="226" t="s">
        <v>110</v>
      </c>
      <c r="P122" s="62" t="s">
        <v>105</v>
      </c>
      <c r="Q122" s="184"/>
      <c r="R122" s="184"/>
      <c r="S122" s="184"/>
      <c r="T122" s="230"/>
      <c r="U122" s="203" t="s">
        <v>278</v>
      </c>
      <c r="Z122" s="273"/>
    </row>
    <row r="123" spans="2:26" s="272" customFormat="1" ht="18" customHeight="1">
      <c r="B123" s="1282"/>
      <c r="C123" s="153" t="s">
        <v>281</v>
      </c>
      <c r="D123" s="419">
        <v>41325</v>
      </c>
      <c r="E123" s="419"/>
      <c r="F123" s="1284"/>
      <c r="G123" s="1103"/>
      <c r="H123" s="186"/>
      <c r="I123" s="186"/>
      <c r="J123" s="186"/>
      <c r="K123" s="186">
        <v>2500</v>
      </c>
      <c r="L123" s="186"/>
      <c r="M123" s="186">
        <f t="shared" si="62"/>
        <v>2500</v>
      </c>
      <c r="N123" s="184"/>
      <c r="O123" s="226" t="s">
        <v>110</v>
      </c>
      <c r="P123" s="62" t="s">
        <v>105</v>
      </c>
      <c r="Q123" s="184"/>
      <c r="R123" s="184"/>
      <c r="S123" s="184"/>
      <c r="T123" s="230"/>
      <c r="U123" s="203" t="s">
        <v>278</v>
      </c>
      <c r="Z123" s="273"/>
    </row>
    <row r="124" spans="2:26" s="272" customFormat="1" ht="18" customHeight="1">
      <c r="B124" s="1282"/>
      <c r="C124" s="153" t="s">
        <v>282</v>
      </c>
      <c r="D124" s="419">
        <v>41332</v>
      </c>
      <c r="E124" s="419"/>
      <c r="F124" s="1284"/>
      <c r="G124" s="1103"/>
      <c r="H124" s="186"/>
      <c r="I124" s="186"/>
      <c r="J124" s="186"/>
      <c r="K124" s="186">
        <v>5000</v>
      </c>
      <c r="L124" s="186"/>
      <c r="M124" s="186">
        <f t="shared" si="62"/>
        <v>5000</v>
      </c>
      <c r="N124" s="184"/>
      <c r="O124" s="226" t="s">
        <v>110</v>
      </c>
      <c r="P124" s="62" t="s">
        <v>105</v>
      </c>
      <c r="Q124" s="184"/>
      <c r="R124" s="184"/>
      <c r="S124" s="184"/>
      <c r="T124" s="230"/>
      <c r="U124" s="203" t="s">
        <v>278</v>
      </c>
      <c r="Z124" s="273"/>
    </row>
    <row r="125" spans="2:26" s="272" customFormat="1" ht="18" customHeight="1">
      <c r="B125" s="1282"/>
      <c r="C125" s="153" t="s">
        <v>283</v>
      </c>
      <c r="D125" s="419">
        <v>41334</v>
      </c>
      <c r="E125" s="419"/>
      <c r="F125" s="1284"/>
      <c r="G125" s="1103"/>
      <c r="H125" s="186"/>
      <c r="I125" s="186"/>
      <c r="J125" s="186"/>
      <c r="K125" s="186">
        <v>1000</v>
      </c>
      <c r="L125" s="186"/>
      <c r="M125" s="186">
        <f t="shared" si="62"/>
        <v>1000</v>
      </c>
      <c r="N125" s="184"/>
      <c r="O125" s="226" t="s">
        <v>110</v>
      </c>
      <c r="P125" s="62" t="s">
        <v>105</v>
      </c>
      <c r="Q125" s="184"/>
      <c r="R125" s="184"/>
      <c r="S125" s="184"/>
      <c r="T125" s="230"/>
      <c r="U125" s="203" t="s">
        <v>278</v>
      </c>
      <c r="Z125" s="273"/>
    </row>
    <row r="126" spans="2:26" s="272" customFormat="1" ht="18" customHeight="1">
      <c r="B126" s="1282"/>
      <c r="C126" s="153" t="s">
        <v>284</v>
      </c>
      <c r="D126" s="419">
        <v>41346</v>
      </c>
      <c r="E126" s="419"/>
      <c r="F126" s="1284"/>
      <c r="G126" s="1103"/>
      <c r="H126" s="186"/>
      <c r="I126" s="186"/>
      <c r="J126" s="186"/>
      <c r="K126" s="186">
        <v>5000</v>
      </c>
      <c r="L126" s="186"/>
      <c r="M126" s="186">
        <f t="shared" si="62"/>
        <v>5000</v>
      </c>
      <c r="N126" s="184"/>
      <c r="O126" s="226" t="s">
        <v>110</v>
      </c>
      <c r="P126" s="62" t="s">
        <v>105</v>
      </c>
      <c r="Q126" s="184"/>
      <c r="R126" s="184"/>
      <c r="S126" s="184"/>
      <c r="T126" s="230"/>
      <c r="U126" s="203" t="s">
        <v>278</v>
      </c>
      <c r="Z126" s="273"/>
    </row>
    <row r="127" spans="2:26" s="272" customFormat="1" ht="18" customHeight="1">
      <c r="B127" s="1283"/>
      <c r="C127" s="153" t="s">
        <v>285</v>
      </c>
      <c r="D127" s="419">
        <v>41348</v>
      </c>
      <c r="E127" s="419"/>
      <c r="F127" s="1284"/>
      <c r="G127" s="1103"/>
      <c r="H127" s="186"/>
      <c r="I127" s="186"/>
      <c r="J127" s="186"/>
      <c r="K127" s="186">
        <v>5000</v>
      </c>
      <c r="L127" s="186"/>
      <c r="M127" s="186">
        <f t="shared" si="62"/>
        <v>5000</v>
      </c>
      <c r="N127" s="184"/>
      <c r="O127" s="226" t="s">
        <v>110</v>
      </c>
      <c r="P127" s="62" t="s">
        <v>105</v>
      </c>
      <c r="Q127" s="184"/>
      <c r="R127" s="184"/>
      <c r="S127" s="184"/>
      <c r="T127" s="230"/>
      <c r="U127" s="203" t="s">
        <v>278</v>
      </c>
      <c r="Z127" s="273"/>
    </row>
    <row r="128" spans="2:26" s="272" customFormat="1" ht="18" customHeight="1">
      <c r="B128" s="1282"/>
      <c r="C128" s="153" t="s">
        <v>286</v>
      </c>
      <c r="D128" s="419">
        <v>41348</v>
      </c>
      <c r="E128" s="419"/>
      <c r="F128" s="1284"/>
      <c r="G128" s="1103"/>
      <c r="H128" s="186"/>
      <c r="I128" s="186"/>
      <c r="J128" s="186"/>
      <c r="K128" s="186">
        <v>2000</v>
      </c>
      <c r="L128" s="186"/>
      <c r="M128" s="186">
        <f t="shared" si="62"/>
        <v>2000</v>
      </c>
      <c r="N128" s="184"/>
      <c r="O128" s="226" t="s">
        <v>110</v>
      </c>
      <c r="P128" s="62" t="s">
        <v>105</v>
      </c>
      <c r="Q128" s="184"/>
      <c r="R128" s="184"/>
      <c r="S128" s="184"/>
      <c r="T128" s="230"/>
      <c r="U128" s="203" t="s">
        <v>278</v>
      </c>
      <c r="Z128" s="273"/>
    </row>
    <row r="129" spans="2:267" s="272" customFormat="1" ht="18" customHeight="1">
      <c r="B129" s="1282"/>
      <c r="C129" s="153" t="s">
        <v>287</v>
      </c>
      <c r="D129" s="419">
        <v>41354</v>
      </c>
      <c r="E129" s="419"/>
      <c r="F129" s="1284"/>
      <c r="G129" s="1103"/>
      <c r="H129" s="186"/>
      <c r="I129" s="186"/>
      <c r="J129" s="186"/>
      <c r="K129" s="186">
        <v>5000</v>
      </c>
      <c r="L129" s="186"/>
      <c r="M129" s="186">
        <f t="shared" si="62"/>
        <v>5000</v>
      </c>
      <c r="N129" s="184"/>
      <c r="O129" s="226" t="s">
        <v>110</v>
      </c>
      <c r="P129" s="62" t="s">
        <v>105</v>
      </c>
      <c r="Q129" s="184"/>
      <c r="R129" s="184"/>
      <c r="S129" s="184"/>
      <c r="T129" s="230"/>
      <c r="U129" s="203" t="s">
        <v>278</v>
      </c>
      <c r="Z129" s="273"/>
    </row>
    <row r="130" spans="2:267" s="272" customFormat="1" ht="18" customHeight="1">
      <c r="B130" s="1282"/>
      <c r="C130" s="153" t="s">
        <v>288</v>
      </c>
      <c r="D130" s="419">
        <v>41358</v>
      </c>
      <c r="E130" s="419"/>
      <c r="F130" s="1284"/>
      <c r="G130" s="1103"/>
      <c r="H130" s="186"/>
      <c r="I130" s="186"/>
      <c r="J130" s="186"/>
      <c r="K130" s="186">
        <v>3250</v>
      </c>
      <c r="L130" s="186"/>
      <c r="M130" s="186">
        <f t="shared" si="62"/>
        <v>3250</v>
      </c>
      <c r="N130" s="184"/>
      <c r="O130" s="226" t="s">
        <v>110</v>
      </c>
      <c r="P130" s="62" t="s">
        <v>105</v>
      </c>
      <c r="Q130" s="184"/>
      <c r="R130" s="184"/>
      <c r="S130" s="184"/>
      <c r="T130" s="230"/>
      <c r="U130" s="203" t="s">
        <v>278</v>
      </c>
      <c r="Z130" s="273"/>
    </row>
    <row r="131" spans="2:267" s="30" customFormat="1" ht="15">
      <c r="B131" s="254"/>
      <c r="C131" s="252"/>
      <c r="D131" s="621"/>
      <c r="E131" s="621"/>
      <c r="F131" s="249"/>
      <c r="G131" s="250"/>
      <c r="H131" s="486"/>
      <c r="I131" s="486"/>
      <c r="J131" s="253"/>
      <c r="K131" s="253"/>
      <c r="L131" s="253"/>
      <c r="M131" s="253"/>
      <c r="N131" s="328"/>
      <c r="O131" s="329"/>
      <c r="P131" s="32"/>
      <c r="Q131" s="726"/>
      <c r="R131" s="726"/>
      <c r="S131" s="726"/>
      <c r="T131" s="32"/>
      <c r="U131" s="32"/>
      <c r="V131" s="12"/>
    </row>
    <row r="132" spans="2:267" s="275" customFormat="1" ht="15">
      <c r="B132" s="187" t="s">
        <v>289</v>
      </c>
      <c r="C132" s="62"/>
      <c r="D132" s="84"/>
      <c r="E132" s="84"/>
      <c r="F132" s="83"/>
      <c r="G132" s="83"/>
      <c r="H132" s="274"/>
      <c r="I132" s="274"/>
      <c r="J132" s="200">
        <f>J133+J140+J143</f>
        <v>0</v>
      </c>
      <c r="K132" s="200">
        <f t="shared" ref="K132:M132" si="63">K133+K140+K143</f>
        <v>34000</v>
      </c>
      <c r="L132" s="200">
        <f t="shared" si="63"/>
        <v>0</v>
      </c>
      <c r="M132" s="200">
        <f t="shared" si="63"/>
        <v>34000</v>
      </c>
      <c r="N132" s="328"/>
      <c r="O132" s="329"/>
      <c r="P132" s="62"/>
      <c r="Q132" s="200">
        <f t="shared" ref="Q132:R132" si="64">Q133+Q140+Q143</f>
        <v>4000</v>
      </c>
      <c r="R132" s="7">
        <f t="shared" si="64"/>
        <v>4000</v>
      </c>
      <c r="S132" s="726"/>
      <c r="U132" s="15"/>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c r="CE132" s="81"/>
      <c r="CF132" s="81"/>
      <c r="CG132" s="81"/>
      <c r="CH132" s="81"/>
      <c r="CI132" s="81"/>
      <c r="CJ132" s="81"/>
      <c r="CK132" s="81"/>
      <c r="CL132" s="81"/>
      <c r="CM132" s="81"/>
      <c r="CN132" s="81"/>
      <c r="CO132" s="81"/>
      <c r="CP132" s="81"/>
      <c r="CQ132" s="81"/>
      <c r="CR132" s="81"/>
      <c r="CS132" s="81"/>
      <c r="CT132" s="81"/>
      <c r="CU132" s="81"/>
      <c r="CV132" s="81"/>
      <c r="CW132" s="81"/>
      <c r="CX132" s="81"/>
      <c r="CY132" s="81"/>
      <c r="CZ132" s="81"/>
      <c r="DA132" s="81"/>
      <c r="DB132" s="81"/>
      <c r="DC132" s="81"/>
      <c r="DD132" s="81"/>
      <c r="DE132" s="81"/>
      <c r="DF132" s="81"/>
      <c r="DG132" s="81"/>
      <c r="DH132" s="81"/>
      <c r="DI132" s="81"/>
      <c r="DJ132" s="81"/>
      <c r="DK132" s="81"/>
      <c r="DL132" s="81"/>
      <c r="DM132" s="81"/>
      <c r="DN132" s="81"/>
      <c r="DO132" s="81"/>
      <c r="DP132" s="81"/>
      <c r="DQ132" s="81"/>
      <c r="DR132" s="81"/>
      <c r="DS132" s="81"/>
      <c r="DT132" s="81"/>
      <c r="DU132" s="81"/>
      <c r="DV132" s="81"/>
      <c r="DW132" s="81"/>
      <c r="DX132" s="81"/>
      <c r="DY132" s="81"/>
      <c r="DZ132" s="81"/>
      <c r="EA132" s="81"/>
      <c r="EB132" s="81"/>
      <c r="EC132" s="81"/>
      <c r="ED132" s="81"/>
      <c r="EE132" s="81"/>
      <c r="EF132" s="81"/>
      <c r="EG132" s="81"/>
      <c r="EH132" s="81"/>
      <c r="EI132" s="81"/>
      <c r="EJ132" s="81"/>
      <c r="EK132" s="81"/>
      <c r="EL132" s="81"/>
      <c r="EM132" s="81"/>
      <c r="EN132" s="81"/>
      <c r="EO132" s="81"/>
      <c r="EP132" s="81"/>
      <c r="EQ132" s="81"/>
      <c r="ER132" s="81"/>
      <c r="ES132" s="81"/>
      <c r="ET132" s="81"/>
      <c r="EU132" s="81"/>
      <c r="EV132" s="81"/>
      <c r="EW132" s="81"/>
      <c r="EX132" s="81"/>
      <c r="EY132" s="81"/>
      <c r="EZ132" s="81"/>
      <c r="FA132" s="81"/>
      <c r="FB132" s="81"/>
      <c r="FC132" s="81"/>
      <c r="FD132" s="81"/>
      <c r="FE132" s="81"/>
      <c r="FF132" s="81"/>
      <c r="FG132" s="81"/>
      <c r="FH132" s="81"/>
      <c r="FI132" s="81"/>
      <c r="FJ132" s="81"/>
      <c r="FK132" s="81"/>
      <c r="FL132" s="81"/>
      <c r="FM132" s="81"/>
      <c r="FN132" s="81"/>
      <c r="FO132" s="81"/>
      <c r="FP132" s="81"/>
      <c r="FQ132" s="81"/>
      <c r="FR132" s="81"/>
      <c r="FS132" s="81"/>
      <c r="FT132" s="81"/>
      <c r="FU132" s="81"/>
      <c r="FV132" s="81"/>
      <c r="FW132" s="81"/>
      <c r="FX132" s="81"/>
      <c r="FY132" s="81"/>
      <c r="FZ132" s="81"/>
      <c r="GA132" s="81"/>
      <c r="GB132" s="81"/>
      <c r="GC132" s="81"/>
      <c r="GD132" s="81"/>
      <c r="GE132" s="81"/>
      <c r="GF132" s="81"/>
      <c r="GG132" s="81"/>
      <c r="GH132" s="81"/>
      <c r="GI132" s="81"/>
      <c r="GJ132" s="81"/>
      <c r="GK132" s="81"/>
      <c r="GL132" s="81"/>
      <c r="GM132" s="81"/>
      <c r="GN132" s="81"/>
      <c r="GO132" s="81"/>
      <c r="GP132" s="81"/>
      <c r="GQ132" s="81"/>
      <c r="GR132" s="81"/>
      <c r="GS132" s="81"/>
      <c r="GT132" s="81"/>
      <c r="GU132" s="81"/>
      <c r="GV132" s="81"/>
      <c r="GW132" s="81"/>
      <c r="GX132" s="81"/>
      <c r="GY132" s="81"/>
      <c r="GZ132" s="81"/>
      <c r="HA132" s="81"/>
      <c r="HB132" s="81"/>
      <c r="HC132" s="81"/>
      <c r="HD132" s="81"/>
      <c r="HE132" s="81"/>
      <c r="HF132" s="81"/>
      <c r="HG132" s="81"/>
      <c r="HH132" s="81"/>
      <c r="HI132" s="81"/>
      <c r="HJ132" s="81"/>
      <c r="HK132" s="81"/>
      <c r="HL132" s="81"/>
      <c r="HM132" s="81"/>
      <c r="HN132" s="81"/>
      <c r="HO132" s="81"/>
      <c r="HP132" s="81"/>
      <c r="HQ132" s="81"/>
      <c r="HR132" s="81"/>
      <c r="HS132" s="81"/>
      <c r="HT132" s="81"/>
      <c r="HU132" s="81"/>
      <c r="HV132" s="81"/>
      <c r="HW132" s="81"/>
      <c r="HX132" s="81"/>
      <c r="HY132" s="81"/>
      <c r="HZ132" s="81"/>
      <c r="IA132" s="81"/>
      <c r="IB132" s="81"/>
      <c r="IC132" s="81"/>
      <c r="ID132" s="81"/>
      <c r="IE132" s="81"/>
      <c r="IF132" s="81"/>
      <c r="IG132" s="81"/>
      <c r="IH132" s="81"/>
      <c r="II132" s="81"/>
      <c r="IJ132" s="81"/>
      <c r="IK132" s="81"/>
      <c r="IL132" s="81"/>
      <c r="IM132" s="81"/>
      <c r="IN132" s="81"/>
      <c r="IO132" s="81"/>
      <c r="IP132" s="81"/>
      <c r="IQ132" s="81"/>
      <c r="IR132" s="81"/>
      <c r="IS132" s="81"/>
      <c r="IT132" s="81"/>
      <c r="IU132" s="81"/>
      <c r="IV132" s="81"/>
      <c r="IW132" s="81"/>
      <c r="IX132" s="81"/>
      <c r="IY132" s="81"/>
      <c r="IZ132" s="81"/>
      <c r="JA132" s="81"/>
      <c r="JB132" s="81"/>
      <c r="JC132" s="81"/>
      <c r="JD132" s="81"/>
      <c r="JE132" s="81"/>
      <c r="JF132" s="81"/>
      <c r="JG132" s="81"/>
    </row>
    <row r="133" spans="2:267" s="275" customFormat="1" ht="15">
      <c r="B133" s="1031" t="s">
        <v>142</v>
      </c>
      <c r="C133" s="62"/>
      <c r="D133" s="84"/>
      <c r="E133" s="84"/>
      <c r="F133" s="83"/>
      <c r="G133" s="83"/>
      <c r="H133" s="274"/>
      <c r="I133" s="274"/>
      <c r="J133" s="200">
        <f>SUM(J134:J138)</f>
        <v>0</v>
      </c>
      <c r="K133" s="200">
        <f>SUM(K134:K138)</f>
        <v>27500</v>
      </c>
      <c r="L133" s="200">
        <f>SUM(L134:L138)</f>
        <v>0</v>
      </c>
      <c r="M133" s="200">
        <f>SUM(M134:M138)</f>
        <v>27500</v>
      </c>
      <c r="N133" s="328"/>
      <c r="O133" s="329"/>
      <c r="P133" s="62"/>
      <c r="Q133" s="200">
        <f t="shared" ref="Q133:R133" si="65">SUM(Q134:Q138)</f>
        <v>0</v>
      </c>
      <c r="R133" s="7">
        <f t="shared" si="65"/>
        <v>0</v>
      </c>
      <c r="S133" s="726"/>
      <c r="U133" s="15"/>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c r="EZ133" s="81"/>
      <c r="FA133" s="81"/>
      <c r="FB133" s="81"/>
      <c r="FC133" s="81"/>
      <c r="FD133" s="81"/>
      <c r="FE133" s="81"/>
      <c r="FF133" s="81"/>
      <c r="FG133" s="81"/>
      <c r="FH133" s="81"/>
      <c r="FI133" s="81"/>
      <c r="FJ133" s="81"/>
      <c r="FK133" s="81"/>
      <c r="FL133" s="81"/>
      <c r="FM133" s="81"/>
      <c r="FN133" s="81"/>
      <c r="FO133" s="81"/>
      <c r="FP133" s="81"/>
      <c r="FQ133" s="81"/>
      <c r="FR133" s="81"/>
      <c r="FS133" s="81"/>
      <c r="FT133" s="81"/>
      <c r="FU133" s="81"/>
      <c r="FV133" s="81"/>
      <c r="FW133" s="81"/>
      <c r="FX133" s="81"/>
      <c r="FY133" s="81"/>
      <c r="FZ133" s="81"/>
      <c r="GA133" s="81"/>
      <c r="GB133" s="81"/>
      <c r="GC133" s="81"/>
      <c r="GD133" s="81"/>
      <c r="GE133" s="81"/>
      <c r="GF133" s="81"/>
      <c r="GG133" s="81"/>
      <c r="GH133" s="81"/>
      <c r="GI133" s="81"/>
      <c r="GJ133" s="81"/>
      <c r="GK133" s="81"/>
      <c r="GL133" s="81"/>
      <c r="GM133" s="81"/>
      <c r="GN133" s="81"/>
      <c r="GO133" s="81"/>
      <c r="GP133" s="81"/>
      <c r="GQ133" s="81"/>
      <c r="GR133" s="81"/>
      <c r="GS133" s="81"/>
      <c r="GT133" s="81"/>
      <c r="GU133" s="81"/>
      <c r="GV133" s="81"/>
      <c r="GW133" s="81"/>
      <c r="GX133" s="81"/>
      <c r="GY133" s="81"/>
      <c r="GZ133" s="81"/>
      <c r="HA133" s="81"/>
      <c r="HB133" s="81"/>
      <c r="HC133" s="81"/>
      <c r="HD133" s="81"/>
      <c r="HE133" s="81"/>
      <c r="HF133" s="81"/>
      <c r="HG133" s="81"/>
      <c r="HH133" s="81"/>
      <c r="HI133" s="81"/>
      <c r="HJ133" s="81"/>
      <c r="HK133" s="81"/>
      <c r="HL133" s="81"/>
      <c r="HM133" s="81"/>
      <c r="HN133" s="81"/>
      <c r="HO133" s="81"/>
      <c r="HP133" s="81"/>
      <c r="HQ133" s="81"/>
      <c r="HR133" s="81"/>
      <c r="HS133" s="81"/>
      <c r="HT133" s="81"/>
      <c r="HU133" s="81"/>
      <c r="HV133" s="81"/>
      <c r="HW133" s="81"/>
      <c r="HX133" s="81"/>
      <c r="HY133" s="81"/>
      <c r="HZ133" s="81"/>
      <c r="IA133" s="81"/>
      <c r="IB133" s="81"/>
      <c r="IC133" s="81"/>
      <c r="ID133" s="81"/>
      <c r="IE133" s="81"/>
      <c r="IF133" s="81"/>
      <c r="IG133" s="81"/>
      <c r="IH133" s="81"/>
      <c r="II133" s="81"/>
      <c r="IJ133" s="81"/>
      <c r="IK133" s="81"/>
      <c r="IL133" s="81"/>
      <c r="IM133" s="81"/>
      <c r="IN133" s="81"/>
      <c r="IO133" s="81"/>
      <c r="IP133" s="81"/>
      <c r="IQ133" s="81"/>
      <c r="IR133" s="81"/>
      <c r="IS133" s="81"/>
      <c r="IT133" s="81"/>
      <c r="IU133" s="81"/>
      <c r="IV133" s="81"/>
      <c r="IW133" s="81"/>
      <c r="IX133" s="81"/>
      <c r="IY133" s="81"/>
      <c r="IZ133" s="81"/>
      <c r="JA133" s="81"/>
      <c r="JB133" s="81"/>
      <c r="JC133" s="81"/>
      <c r="JD133" s="81"/>
      <c r="JE133" s="81"/>
      <c r="JF133" s="81"/>
      <c r="JG133" s="81"/>
    </row>
    <row r="134" spans="2:267" s="275" customFormat="1" ht="45">
      <c r="B134" s="33" t="s">
        <v>22</v>
      </c>
      <c r="C134" s="1138" t="s">
        <v>290</v>
      </c>
      <c r="D134" s="656">
        <v>41317</v>
      </c>
      <c r="E134" s="657" t="s">
        <v>5640</v>
      </c>
      <c r="F134" s="1129" t="s">
        <v>5639</v>
      </c>
      <c r="G134" s="1129"/>
      <c r="H134" s="274"/>
      <c r="I134" s="274"/>
      <c r="J134" s="274"/>
      <c r="K134" s="15">
        <v>10000</v>
      </c>
      <c r="L134" s="274"/>
      <c r="M134" s="15">
        <f>SUM(J134:L134)</f>
        <v>10000</v>
      </c>
      <c r="N134" s="274"/>
      <c r="O134" s="226" t="s">
        <v>110</v>
      </c>
      <c r="P134" s="62" t="s">
        <v>105</v>
      </c>
      <c r="Q134" s="274"/>
      <c r="R134" s="6"/>
      <c r="S134" s="6"/>
      <c r="U134" s="15" t="s">
        <v>291</v>
      </c>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c r="FL134" s="81"/>
      <c r="FM134" s="81"/>
      <c r="FN134" s="81"/>
      <c r="FO134" s="81"/>
      <c r="FP134" s="81"/>
      <c r="FQ134" s="81"/>
      <c r="FR134" s="81"/>
      <c r="FS134" s="81"/>
      <c r="FT134" s="81"/>
      <c r="FU134" s="81"/>
      <c r="FV134" s="81"/>
      <c r="FW134" s="81"/>
      <c r="FX134" s="81"/>
      <c r="FY134" s="81"/>
      <c r="FZ134" s="81"/>
      <c r="GA134" s="81"/>
      <c r="GB134" s="81"/>
      <c r="GC134" s="81"/>
      <c r="GD134" s="81"/>
      <c r="GE134" s="81"/>
      <c r="GF134" s="81"/>
      <c r="GG134" s="81"/>
      <c r="GH134" s="81"/>
      <c r="GI134" s="81"/>
      <c r="GJ134" s="81"/>
      <c r="GK134" s="81"/>
      <c r="GL134" s="81"/>
      <c r="GM134" s="81"/>
      <c r="GN134" s="81"/>
      <c r="GO134" s="81"/>
      <c r="GP134" s="81"/>
      <c r="GQ134" s="81"/>
      <c r="GR134" s="81"/>
      <c r="GS134" s="81"/>
      <c r="GT134" s="81"/>
      <c r="GU134" s="81"/>
      <c r="GV134" s="81"/>
      <c r="GW134" s="81"/>
      <c r="GX134" s="81"/>
      <c r="GY134" s="81"/>
      <c r="GZ134" s="81"/>
      <c r="HA134" s="81"/>
      <c r="HB134" s="81"/>
      <c r="HC134" s="81"/>
      <c r="HD134" s="81"/>
      <c r="HE134" s="81"/>
      <c r="HF134" s="81"/>
      <c r="HG134" s="81"/>
      <c r="HH134" s="81"/>
      <c r="HI134" s="81"/>
      <c r="HJ134" s="81"/>
      <c r="HK134" s="81"/>
      <c r="HL134" s="81"/>
      <c r="HM134" s="81"/>
      <c r="HN134" s="81"/>
      <c r="HO134" s="81"/>
      <c r="HP134" s="81"/>
      <c r="HQ134" s="81"/>
      <c r="HR134" s="81"/>
      <c r="HS134" s="81"/>
      <c r="HT134" s="81"/>
      <c r="HU134" s="81"/>
      <c r="HV134" s="81"/>
      <c r="HW134" s="81"/>
      <c r="HX134" s="81"/>
      <c r="HY134" s="81"/>
      <c r="HZ134" s="81"/>
      <c r="IA134" s="81"/>
      <c r="IB134" s="81"/>
      <c r="IC134" s="81"/>
      <c r="ID134" s="81"/>
      <c r="IE134" s="81"/>
      <c r="IF134" s="81"/>
      <c r="IG134" s="81"/>
      <c r="IH134" s="81"/>
      <c r="II134" s="81"/>
      <c r="IJ134" s="81"/>
      <c r="IK134" s="81"/>
      <c r="IL134" s="81"/>
      <c r="IM134" s="81"/>
      <c r="IN134" s="81"/>
      <c r="IO134" s="81"/>
      <c r="IP134" s="81"/>
      <c r="IQ134" s="81"/>
      <c r="IR134" s="81"/>
      <c r="IS134" s="81"/>
      <c r="IT134" s="81"/>
      <c r="IU134" s="81"/>
      <c r="IV134" s="81"/>
      <c r="IW134" s="81"/>
      <c r="IX134" s="81"/>
      <c r="IY134" s="81"/>
      <c r="IZ134" s="81"/>
      <c r="JA134" s="81"/>
      <c r="JB134" s="81"/>
      <c r="JC134" s="81"/>
      <c r="JD134" s="81"/>
      <c r="JE134" s="81"/>
      <c r="JF134" s="81"/>
      <c r="JG134" s="81"/>
    </row>
    <row r="135" spans="2:267" s="275" customFormat="1" ht="45">
      <c r="B135" s="33" t="s">
        <v>22</v>
      </c>
      <c r="C135" s="1137" t="s">
        <v>292</v>
      </c>
      <c r="D135" s="656">
        <v>41332</v>
      </c>
      <c r="E135" s="657" t="s">
        <v>5640</v>
      </c>
      <c r="F135" s="1129" t="s">
        <v>5639</v>
      </c>
      <c r="G135" s="1129"/>
      <c r="H135" s="274"/>
      <c r="I135" s="274"/>
      <c r="J135" s="274"/>
      <c r="K135" s="15">
        <v>5000</v>
      </c>
      <c r="L135" s="274"/>
      <c r="M135" s="15">
        <f>SUM(J135:L135)</f>
        <v>5000</v>
      </c>
      <c r="N135" s="274"/>
      <c r="O135" s="226" t="s">
        <v>110</v>
      </c>
      <c r="P135" s="62" t="s">
        <v>105</v>
      </c>
      <c r="Q135" s="274"/>
      <c r="R135" s="6"/>
      <c r="S135" s="6"/>
      <c r="U135" s="15" t="s">
        <v>291</v>
      </c>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c r="FF135" s="81"/>
      <c r="FG135" s="81"/>
      <c r="FH135" s="81"/>
      <c r="FI135" s="81"/>
      <c r="FJ135" s="81"/>
      <c r="FK135" s="81"/>
      <c r="FL135" s="81"/>
      <c r="FM135" s="81"/>
      <c r="FN135" s="81"/>
      <c r="FO135" s="81"/>
      <c r="FP135" s="81"/>
      <c r="FQ135" s="81"/>
      <c r="FR135" s="81"/>
      <c r="FS135" s="81"/>
      <c r="FT135" s="81"/>
      <c r="FU135" s="81"/>
      <c r="FV135" s="81"/>
      <c r="FW135" s="81"/>
      <c r="FX135" s="81"/>
      <c r="FY135" s="81"/>
      <c r="FZ135" s="81"/>
      <c r="GA135" s="81"/>
      <c r="GB135" s="81"/>
      <c r="GC135" s="81"/>
      <c r="GD135" s="81"/>
      <c r="GE135" s="81"/>
      <c r="GF135" s="81"/>
      <c r="GG135" s="81"/>
      <c r="GH135" s="81"/>
      <c r="GI135" s="81"/>
      <c r="GJ135" s="81"/>
      <c r="GK135" s="81"/>
      <c r="GL135" s="81"/>
      <c r="GM135" s="81"/>
      <c r="GN135" s="81"/>
      <c r="GO135" s="81"/>
      <c r="GP135" s="81"/>
      <c r="GQ135" s="81"/>
      <c r="GR135" s="81"/>
      <c r="GS135" s="81"/>
      <c r="GT135" s="81"/>
      <c r="GU135" s="81"/>
      <c r="GV135" s="81"/>
      <c r="GW135" s="81"/>
      <c r="GX135" s="81"/>
      <c r="GY135" s="81"/>
      <c r="GZ135" s="81"/>
      <c r="HA135" s="81"/>
      <c r="HB135" s="81"/>
      <c r="HC135" s="81"/>
      <c r="HD135" s="81"/>
      <c r="HE135" s="81"/>
      <c r="HF135" s="81"/>
      <c r="HG135" s="81"/>
      <c r="HH135" s="81"/>
      <c r="HI135" s="81"/>
      <c r="HJ135" s="81"/>
      <c r="HK135" s="81"/>
      <c r="HL135" s="81"/>
      <c r="HM135" s="81"/>
      <c r="HN135" s="81"/>
      <c r="HO135" s="81"/>
      <c r="HP135" s="81"/>
      <c r="HQ135" s="81"/>
      <c r="HR135" s="81"/>
      <c r="HS135" s="81"/>
      <c r="HT135" s="81"/>
      <c r="HU135" s="81"/>
      <c r="HV135" s="81"/>
      <c r="HW135" s="81"/>
      <c r="HX135" s="81"/>
      <c r="HY135" s="81"/>
      <c r="HZ135" s="81"/>
      <c r="IA135" s="81"/>
      <c r="IB135" s="81"/>
      <c r="IC135" s="81"/>
      <c r="ID135" s="81"/>
      <c r="IE135" s="81"/>
      <c r="IF135" s="81"/>
      <c r="IG135" s="81"/>
      <c r="IH135" s="81"/>
      <c r="II135" s="81"/>
      <c r="IJ135" s="81"/>
      <c r="IK135" s="81"/>
      <c r="IL135" s="81"/>
      <c r="IM135" s="81"/>
      <c r="IN135" s="81"/>
      <c r="IO135" s="81"/>
      <c r="IP135" s="81"/>
      <c r="IQ135" s="81"/>
      <c r="IR135" s="81"/>
      <c r="IS135" s="81"/>
      <c r="IT135" s="81"/>
      <c r="IU135" s="81"/>
      <c r="IV135" s="81"/>
      <c r="IW135" s="81"/>
      <c r="IX135" s="81"/>
      <c r="IY135" s="81"/>
      <c r="IZ135" s="81"/>
      <c r="JA135" s="81"/>
      <c r="JB135" s="81"/>
      <c r="JC135" s="81"/>
      <c r="JD135" s="81"/>
      <c r="JE135" s="81"/>
      <c r="JF135" s="81"/>
      <c r="JG135" s="81"/>
    </row>
    <row r="136" spans="2:267" s="275" customFormat="1" ht="45">
      <c r="B136" s="33" t="s">
        <v>22</v>
      </c>
      <c r="C136" s="1137" t="s">
        <v>293</v>
      </c>
      <c r="D136" s="656">
        <v>41334</v>
      </c>
      <c r="E136" s="657" t="s">
        <v>5640</v>
      </c>
      <c r="F136" s="1129" t="s">
        <v>5639</v>
      </c>
      <c r="G136" s="1129"/>
      <c r="H136" s="274"/>
      <c r="I136" s="274"/>
      <c r="J136" s="274"/>
      <c r="K136" s="15">
        <v>2500</v>
      </c>
      <c r="L136" s="274"/>
      <c r="M136" s="15">
        <f>SUM(J136:L136)</f>
        <v>2500</v>
      </c>
      <c r="N136" s="274"/>
      <c r="O136" s="226" t="s">
        <v>110</v>
      </c>
      <c r="P136" s="62" t="s">
        <v>105</v>
      </c>
      <c r="Q136" s="274"/>
      <c r="R136" s="6"/>
      <c r="S136" s="6"/>
      <c r="U136" s="15" t="s">
        <v>291</v>
      </c>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c r="FF136" s="81"/>
      <c r="FG136" s="81"/>
      <c r="FH136" s="81"/>
      <c r="FI136" s="81"/>
      <c r="FJ136" s="81"/>
      <c r="FK136" s="81"/>
      <c r="FL136" s="81"/>
      <c r="FM136" s="81"/>
      <c r="FN136" s="81"/>
      <c r="FO136" s="81"/>
      <c r="FP136" s="81"/>
      <c r="FQ136" s="81"/>
      <c r="FR136" s="81"/>
      <c r="FS136" s="81"/>
      <c r="FT136" s="81"/>
      <c r="FU136" s="81"/>
      <c r="FV136" s="81"/>
      <c r="FW136" s="81"/>
      <c r="FX136" s="81"/>
      <c r="FY136" s="81"/>
      <c r="FZ136" s="81"/>
      <c r="GA136" s="81"/>
      <c r="GB136" s="81"/>
      <c r="GC136" s="81"/>
      <c r="GD136" s="81"/>
      <c r="GE136" s="81"/>
      <c r="GF136" s="81"/>
      <c r="GG136" s="81"/>
      <c r="GH136" s="81"/>
      <c r="GI136" s="81"/>
      <c r="GJ136" s="81"/>
      <c r="GK136" s="81"/>
      <c r="GL136" s="81"/>
      <c r="GM136" s="81"/>
      <c r="GN136" s="81"/>
      <c r="GO136" s="81"/>
      <c r="GP136" s="81"/>
      <c r="GQ136" s="81"/>
      <c r="GR136" s="81"/>
      <c r="GS136" s="81"/>
      <c r="GT136" s="81"/>
      <c r="GU136" s="81"/>
      <c r="GV136" s="81"/>
      <c r="GW136" s="81"/>
      <c r="GX136" s="81"/>
      <c r="GY136" s="81"/>
      <c r="GZ136" s="81"/>
      <c r="HA136" s="81"/>
      <c r="HB136" s="81"/>
      <c r="HC136" s="81"/>
      <c r="HD136" s="81"/>
      <c r="HE136" s="81"/>
      <c r="HF136" s="81"/>
      <c r="HG136" s="81"/>
      <c r="HH136" s="81"/>
      <c r="HI136" s="81"/>
      <c r="HJ136" s="81"/>
      <c r="HK136" s="81"/>
      <c r="HL136" s="81"/>
      <c r="HM136" s="81"/>
      <c r="HN136" s="81"/>
      <c r="HO136" s="81"/>
      <c r="HP136" s="81"/>
      <c r="HQ136" s="81"/>
      <c r="HR136" s="81"/>
      <c r="HS136" s="81"/>
      <c r="HT136" s="81"/>
      <c r="HU136" s="81"/>
      <c r="HV136" s="81"/>
      <c r="HW136" s="81"/>
      <c r="HX136" s="81"/>
      <c r="HY136" s="81"/>
      <c r="HZ136" s="81"/>
      <c r="IA136" s="81"/>
      <c r="IB136" s="81"/>
      <c r="IC136" s="81"/>
      <c r="ID136" s="81"/>
      <c r="IE136" s="81"/>
      <c r="IF136" s="81"/>
      <c r="IG136" s="81"/>
      <c r="IH136" s="81"/>
      <c r="II136" s="81"/>
      <c r="IJ136" s="81"/>
      <c r="IK136" s="81"/>
      <c r="IL136" s="81"/>
      <c r="IM136" s="81"/>
      <c r="IN136" s="81"/>
      <c r="IO136" s="81"/>
      <c r="IP136" s="81"/>
      <c r="IQ136" s="81"/>
      <c r="IR136" s="81"/>
      <c r="IS136" s="81"/>
      <c r="IT136" s="81"/>
      <c r="IU136" s="81"/>
      <c r="IV136" s="81"/>
      <c r="IW136" s="81"/>
      <c r="IX136" s="81"/>
      <c r="IY136" s="81"/>
      <c r="IZ136" s="81"/>
      <c r="JA136" s="81"/>
      <c r="JB136" s="81"/>
      <c r="JC136" s="81"/>
      <c r="JD136" s="81"/>
      <c r="JE136" s="81"/>
      <c r="JF136" s="81"/>
      <c r="JG136" s="81"/>
    </row>
    <row r="137" spans="2:267" s="275" customFormat="1" ht="45">
      <c r="B137" s="33" t="s">
        <v>22</v>
      </c>
      <c r="C137" s="1137" t="s">
        <v>294</v>
      </c>
      <c r="D137" s="656">
        <v>41341</v>
      </c>
      <c r="E137" s="657" t="s">
        <v>5640</v>
      </c>
      <c r="F137" s="1129" t="s">
        <v>5639</v>
      </c>
      <c r="G137" s="1129"/>
      <c r="H137" s="274"/>
      <c r="I137" s="274"/>
      <c r="J137" s="274"/>
      <c r="K137" s="15">
        <v>5000</v>
      </c>
      <c r="L137" s="274"/>
      <c r="M137" s="15">
        <f>SUM(J137:L137)</f>
        <v>5000</v>
      </c>
      <c r="N137" s="274"/>
      <c r="O137" s="226" t="s">
        <v>110</v>
      </c>
      <c r="P137" s="62" t="s">
        <v>105</v>
      </c>
      <c r="Q137" s="274"/>
      <c r="R137" s="6"/>
      <c r="S137" s="6"/>
      <c r="U137" s="15" t="s">
        <v>291</v>
      </c>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c r="FF137" s="81"/>
      <c r="FG137" s="81"/>
      <c r="FH137" s="81"/>
      <c r="FI137" s="81"/>
      <c r="FJ137" s="81"/>
      <c r="FK137" s="81"/>
      <c r="FL137" s="81"/>
      <c r="FM137" s="81"/>
      <c r="FN137" s="81"/>
      <c r="FO137" s="81"/>
      <c r="FP137" s="81"/>
      <c r="FQ137" s="81"/>
      <c r="FR137" s="81"/>
      <c r="FS137" s="81"/>
      <c r="FT137" s="81"/>
      <c r="FU137" s="81"/>
      <c r="FV137" s="81"/>
      <c r="FW137" s="81"/>
      <c r="FX137" s="81"/>
      <c r="FY137" s="81"/>
      <c r="FZ137" s="81"/>
      <c r="GA137" s="81"/>
      <c r="GB137" s="81"/>
      <c r="GC137" s="81"/>
      <c r="GD137" s="81"/>
      <c r="GE137" s="81"/>
      <c r="GF137" s="81"/>
      <c r="GG137" s="81"/>
      <c r="GH137" s="81"/>
      <c r="GI137" s="81"/>
      <c r="GJ137" s="81"/>
      <c r="GK137" s="81"/>
      <c r="GL137" s="81"/>
      <c r="GM137" s="81"/>
      <c r="GN137" s="81"/>
      <c r="GO137" s="81"/>
      <c r="GP137" s="81"/>
      <c r="GQ137" s="81"/>
      <c r="GR137" s="81"/>
      <c r="GS137" s="81"/>
      <c r="GT137" s="81"/>
      <c r="GU137" s="81"/>
      <c r="GV137" s="81"/>
      <c r="GW137" s="81"/>
      <c r="GX137" s="81"/>
      <c r="GY137" s="81"/>
      <c r="GZ137" s="81"/>
      <c r="HA137" s="81"/>
      <c r="HB137" s="81"/>
      <c r="HC137" s="81"/>
      <c r="HD137" s="81"/>
      <c r="HE137" s="81"/>
      <c r="HF137" s="81"/>
      <c r="HG137" s="81"/>
      <c r="HH137" s="81"/>
      <c r="HI137" s="81"/>
      <c r="HJ137" s="81"/>
      <c r="HK137" s="81"/>
      <c r="HL137" s="81"/>
      <c r="HM137" s="81"/>
      <c r="HN137" s="81"/>
      <c r="HO137" s="81"/>
      <c r="HP137" s="81"/>
      <c r="HQ137" s="81"/>
      <c r="HR137" s="81"/>
      <c r="HS137" s="81"/>
      <c r="HT137" s="81"/>
      <c r="HU137" s="81"/>
      <c r="HV137" s="81"/>
      <c r="HW137" s="81"/>
      <c r="HX137" s="81"/>
      <c r="HY137" s="81"/>
      <c r="HZ137" s="81"/>
      <c r="IA137" s="81"/>
      <c r="IB137" s="81"/>
      <c r="IC137" s="81"/>
      <c r="ID137" s="81"/>
      <c r="IE137" s="81"/>
      <c r="IF137" s="81"/>
      <c r="IG137" s="81"/>
      <c r="IH137" s="81"/>
      <c r="II137" s="81"/>
      <c r="IJ137" s="81"/>
      <c r="IK137" s="81"/>
      <c r="IL137" s="81"/>
      <c r="IM137" s="81"/>
      <c r="IN137" s="81"/>
      <c r="IO137" s="81"/>
      <c r="IP137" s="81"/>
      <c r="IQ137" s="81"/>
      <c r="IR137" s="81"/>
      <c r="IS137" s="81"/>
      <c r="IT137" s="81"/>
      <c r="IU137" s="81"/>
      <c r="IV137" s="81"/>
      <c r="IW137" s="81"/>
      <c r="IX137" s="81"/>
      <c r="IY137" s="81"/>
      <c r="IZ137" s="81"/>
      <c r="JA137" s="81"/>
      <c r="JB137" s="81"/>
      <c r="JC137" s="81"/>
      <c r="JD137" s="81"/>
      <c r="JE137" s="81"/>
      <c r="JF137" s="81"/>
      <c r="JG137" s="81"/>
    </row>
    <row r="138" spans="2:267" s="275" customFormat="1" ht="45">
      <c r="B138" s="33" t="s">
        <v>22</v>
      </c>
      <c r="C138" s="1137" t="s">
        <v>295</v>
      </c>
      <c r="D138" s="656">
        <v>41347</v>
      </c>
      <c r="E138" s="657" t="s">
        <v>5640</v>
      </c>
      <c r="F138" s="1129" t="s">
        <v>5639</v>
      </c>
      <c r="G138" s="1129"/>
      <c r="H138" s="274"/>
      <c r="I138" s="274"/>
      <c r="J138" s="274"/>
      <c r="K138" s="15">
        <v>5000</v>
      </c>
      <c r="L138" s="274"/>
      <c r="M138" s="15">
        <f>SUM(J138:L138)</f>
        <v>5000</v>
      </c>
      <c r="N138" s="274"/>
      <c r="O138" s="226" t="s">
        <v>110</v>
      </c>
      <c r="P138" s="62" t="s">
        <v>105</v>
      </c>
      <c r="Q138" s="274"/>
      <c r="R138" s="6"/>
      <c r="S138" s="6"/>
      <c r="U138" s="15" t="s">
        <v>291</v>
      </c>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c r="CE138" s="81"/>
      <c r="CF138" s="81"/>
      <c r="CG138" s="81"/>
      <c r="CH138" s="81"/>
      <c r="CI138" s="81"/>
      <c r="CJ138" s="81"/>
      <c r="CK138" s="81"/>
      <c r="CL138" s="81"/>
      <c r="CM138" s="81"/>
      <c r="CN138" s="81"/>
      <c r="CO138" s="81"/>
      <c r="CP138" s="81"/>
      <c r="CQ138" s="81"/>
      <c r="CR138" s="81"/>
      <c r="CS138" s="81"/>
      <c r="CT138" s="81"/>
      <c r="CU138" s="81"/>
      <c r="CV138" s="81"/>
      <c r="CW138" s="81"/>
      <c r="CX138" s="81"/>
      <c r="CY138" s="81"/>
      <c r="CZ138" s="81"/>
      <c r="DA138" s="81"/>
      <c r="DB138" s="81"/>
      <c r="DC138" s="81"/>
      <c r="DD138" s="81"/>
      <c r="DE138" s="81"/>
      <c r="DF138" s="81"/>
      <c r="DG138" s="81"/>
      <c r="DH138" s="81"/>
      <c r="DI138" s="81"/>
      <c r="DJ138" s="81"/>
      <c r="DK138" s="81"/>
      <c r="DL138" s="81"/>
      <c r="DM138" s="81"/>
      <c r="DN138" s="81"/>
      <c r="DO138" s="81"/>
      <c r="DP138" s="81"/>
      <c r="DQ138" s="81"/>
      <c r="DR138" s="81"/>
      <c r="DS138" s="81"/>
      <c r="DT138" s="81"/>
      <c r="DU138" s="81"/>
      <c r="DV138" s="81"/>
      <c r="DW138" s="81"/>
      <c r="DX138" s="81"/>
      <c r="DY138" s="81"/>
      <c r="DZ138" s="81"/>
      <c r="EA138" s="81"/>
      <c r="EB138" s="81"/>
      <c r="EC138" s="81"/>
      <c r="ED138" s="81"/>
      <c r="EE138" s="81"/>
      <c r="EF138" s="81"/>
      <c r="EG138" s="81"/>
      <c r="EH138" s="81"/>
      <c r="EI138" s="81"/>
      <c r="EJ138" s="81"/>
      <c r="EK138" s="81"/>
      <c r="EL138" s="81"/>
      <c r="EM138" s="81"/>
      <c r="EN138" s="81"/>
      <c r="EO138" s="81"/>
      <c r="EP138" s="81"/>
      <c r="EQ138" s="81"/>
      <c r="ER138" s="81"/>
      <c r="ES138" s="81"/>
      <c r="ET138" s="81"/>
      <c r="EU138" s="81"/>
      <c r="EV138" s="81"/>
      <c r="EW138" s="81"/>
      <c r="EX138" s="81"/>
      <c r="EY138" s="81"/>
      <c r="EZ138" s="81"/>
      <c r="FA138" s="81"/>
      <c r="FB138" s="81"/>
      <c r="FC138" s="81"/>
      <c r="FD138" s="81"/>
      <c r="FE138" s="81"/>
      <c r="FF138" s="81"/>
      <c r="FG138" s="81"/>
      <c r="FH138" s="81"/>
      <c r="FI138" s="81"/>
      <c r="FJ138" s="81"/>
      <c r="FK138" s="81"/>
      <c r="FL138" s="81"/>
      <c r="FM138" s="81"/>
      <c r="FN138" s="81"/>
      <c r="FO138" s="81"/>
      <c r="FP138" s="81"/>
      <c r="FQ138" s="81"/>
      <c r="FR138" s="81"/>
      <c r="FS138" s="81"/>
      <c r="FT138" s="81"/>
      <c r="FU138" s="81"/>
      <c r="FV138" s="81"/>
      <c r="FW138" s="81"/>
      <c r="FX138" s="81"/>
      <c r="FY138" s="81"/>
      <c r="FZ138" s="81"/>
      <c r="GA138" s="81"/>
      <c r="GB138" s="81"/>
      <c r="GC138" s="81"/>
      <c r="GD138" s="81"/>
      <c r="GE138" s="81"/>
      <c r="GF138" s="81"/>
      <c r="GG138" s="81"/>
      <c r="GH138" s="81"/>
      <c r="GI138" s="81"/>
      <c r="GJ138" s="81"/>
      <c r="GK138" s="81"/>
      <c r="GL138" s="81"/>
      <c r="GM138" s="81"/>
      <c r="GN138" s="81"/>
      <c r="GO138" s="81"/>
      <c r="GP138" s="81"/>
      <c r="GQ138" s="81"/>
      <c r="GR138" s="81"/>
      <c r="GS138" s="81"/>
      <c r="GT138" s="81"/>
      <c r="GU138" s="81"/>
      <c r="GV138" s="81"/>
      <c r="GW138" s="81"/>
      <c r="GX138" s="81"/>
      <c r="GY138" s="81"/>
      <c r="GZ138" s="81"/>
      <c r="HA138" s="81"/>
      <c r="HB138" s="81"/>
      <c r="HC138" s="81"/>
      <c r="HD138" s="81"/>
      <c r="HE138" s="81"/>
      <c r="HF138" s="81"/>
      <c r="HG138" s="81"/>
      <c r="HH138" s="81"/>
      <c r="HI138" s="81"/>
      <c r="HJ138" s="81"/>
      <c r="HK138" s="81"/>
      <c r="HL138" s="81"/>
      <c r="HM138" s="81"/>
      <c r="HN138" s="81"/>
      <c r="HO138" s="81"/>
      <c r="HP138" s="81"/>
      <c r="HQ138" s="81"/>
      <c r="HR138" s="81"/>
      <c r="HS138" s="81"/>
      <c r="HT138" s="81"/>
      <c r="HU138" s="81"/>
      <c r="HV138" s="81"/>
      <c r="HW138" s="81"/>
      <c r="HX138" s="81"/>
      <c r="HY138" s="81"/>
      <c r="HZ138" s="81"/>
      <c r="IA138" s="81"/>
      <c r="IB138" s="81"/>
      <c r="IC138" s="81"/>
      <c r="ID138" s="81"/>
      <c r="IE138" s="81"/>
      <c r="IF138" s="81"/>
      <c r="IG138" s="81"/>
      <c r="IH138" s="81"/>
      <c r="II138" s="81"/>
      <c r="IJ138" s="81"/>
      <c r="IK138" s="81"/>
      <c r="IL138" s="81"/>
      <c r="IM138" s="81"/>
      <c r="IN138" s="81"/>
      <c r="IO138" s="81"/>
      <c r="IP138" s="81"/>
      <c r="IQ138" s="81"/>
      <c r="IR138" s="81"/>
      <c r="IS138" s="81"/>
      <c r="IT138" s="81"/>
      <c r="IU138" s="81"/>
      <c r="IV138" s="81"/>
      <c r="IW138" s="81"/>
      <c r="IX138" s="81"/>
      <c r="IY138" s="81"/>
      <c r="IZ138" s="81"/>
      <c r="JA138" s="81"/>
      <c r="JB138" s="81"/>
      <c r="JC138" s="81"/>
      <c r="JD138" s="81"/>
      <c r="JE138" s="81"/>
      <c r="JF138" s="81"/>
      <c r="JG138" s="81"/>
    </row>
    <row r="139" spans="2:267" s="30" customFormat="1" ht="15">
      <c r="B139" s="254"/>
      <c r="C139" s="252"/>
      <c r="D139" s="621"/>
      <c r="E139" s="621"/>
      <c r="F139" s="249"/>
      <c r="G139" s="250"/>
      <c r="H139" s="486"/>
      <c r="I139" s="486"/>
      <c r="J139" s="253"/>
      <c r="K139" s="253"/>
      <c r="L139" s="253"/>
      <c r="M139" s="253"/>
      <c r="N139" s="328"/>
      <c r="O139" s="329"/>
      <c r="P139" s="32"/>
      <c r="Q139" s="726"/>
      <c r="R139" s="726"/>
      <c r="S139" s="726"/>
      <c r="T139" s="32"/>
      <c r="U139" s="32"/>
      <c r="V139" s="12"/>
    </row>
    <row r="140" spans="2:267" s="30" customFormat="1" ht="15">
      <c r="B140" s="1031" t="s">
        <v>296</v>
      </c>
      <c r="C140" s="252"/>
      <c r="D140" s="656"/>
      <c r="E140" s="656"/>
      <c r="F140" s="249"/>
      <c r="G140" s="250"/>
      <c r="H140" s="486"/>
      <c r="I140" s="486"/>
      <c r="J140" s="276">
        <f>J141</f>
        <v>0</v>
      </c>
      <c r="K140" s="276">
        <f t="shared" ref="K140:M140" si="66">K141</f>
        <v>2500</v>
      </c>
      <c r="L140" s="276">
        <f t="shared" si="66"/>
        <v>0</v>
      </c>
      <c r="M140" s="276">
        <f t="shared" si="66"/>
        <v>2500</v>
      </c>
      <c r="N140" s="328"/>
      <c r="O140" s="329"/>
      <c r="P140" s="32"/>
      <c r="Q140" s="276">
        <f t="shared" ref="Q140:R140" si="67">Q141</f>
        <v>0</v>
      </c>
      <c r="R140" s="276">
        <f t="shared" si="67"/>
        <v>0</v>
      </c>
      <c r="S140" s="726"/>
      <c r="T140" s="32"/>
      <c r="U140" s="32"/>
      <c r="V140" s="12"/>
    </row>
    <row r="141" spans="2:267" s="16" customFormat="1" ht="30">
      <c r="B141" s="277" t="s">
        <v>22</v>
      </c>
      <c r="C141" s="1137" t="s">
        <v>297</v>
      </c>
      <c r="D141" s="656">
        <v>41358</v>
      </c>
      <c r="E141" s="657" t="s">
        <v>5751</v>
      </c>
      <c r="F141" s="83" t="s">
        <v>5750</v>
      </c>
      <c r="G141" s="83"/>
      <c r="H141" s="117">
        <v>14450</v>
      </c>
      <c r="I141" s="117"/>
      <c r="J141" s="117"/>
      <c r="K141" s="15">
        <v>2500</v>
      </c>
      <c r="L141" s="117"/>
      <c r="M141" s="1136">
        <f>SUM(J141:L141)</f>
        <v>2500</v>
      </c>
      <c r="N141" s="117">
        <f>M141+H141</f>
        <v>16950</v>
      </c>
      <c r="O141" s="226" t="s">
        <v>110</v>
      </c>
      <c r="P141" s="62" t="s">
        <v>105</v>
      </c>
      <c r="Q141" s="117"/>
      <c r="R141" s="117"/>
      <c r="S141" s="117"/>
      <c r="T141" s="8"/>
      <c r="U141" s="15" t="s">
        <v>298</v>
      </c>
    </row>
    <row r="142" spans="2:267" s="30" customFormat="1" ht="15">
      <c r="B142" s="254"/>
      <c r="C142" s="252"/>
      <c r="D142" s="621"/>
      <c r="E142" s="621"/>
      <c r="F142" s="249"/>
      <c r="G142" s="250"/>
      <c r="H142" s="486"/>
      <c r="I142" s="486"/>
      <c r="J142" s="253"/>
      <c r="K142" s="253"/>
      <c r="L142" s="253"/>
      <c r="M142" s="253"/>
      <c r="N142" s="328"/>
      <c r="O142" s="329"/>
      <c r="P142" s="32"/>
      <c r="Q142" s="726"/>
      <c r="R142" s="726"/>
      <c r="S142" s="726"/>
      <c r="T142" s="32"/>
      <c r="U142" s="32"/>
      <c r="V142" s="12"/>
    </row>
    <row r="143" spans="2:267" s="30" customFormat="1" ht="15">
      <c r="B143" s="1031" t="s">
        <v>299</v>
      </c>
      <c r="C143" s="252"/>
      <c r="D143" s="621"/>
      <c r="E143" s="621"/>
      <c r="F143" s="249"/>
      <c r="G143" s="250"/>
      <c r="H143" s="486"/>
      <c r="I143" s="486"/>
      <c r="J143" s="276">
        <f>J144</f>
        <v>0</v>
      </c>
      <c r="K143" s="276">
        <f t="shared" ref="K143:M143" si="68">K144</f>
        <v>4000</v>
      </c>
      <c r="L143" s="276">
        <f t="shared" si="68"/>
        <v>0</v>
      </c>
      <c r="M143" s="276">
        <f t="shared" si="68"/>
        <v>4000</v>
      </c>
      <c r="N143" s="328"/>
      <c r="O143" s="329"/>
      <c r="P143" s="32"/>
      <c r="Q143" s="276">
        <f t="shared" ref="Q143:R143" si="69">Q144</f>
        <v>4000</v>
      </c>
      <c r="R143" s="276">
        <f t="shared" si="69"/>
        <v>4000</v>
      </c>
      <c r="S143" s="726"/>
      <c r="T143" s="32"/>
      <c r="U143" s="32"/>
      <c r="V143" s="12"/>
    </row>
    <row r="144" spans="2:267" s="81" customFormat="1" ht="90">
      <c r="B144" s="277" t="s">
        <v>300</v>
      </c>
      <c r="C144" s="1137" t="s">
        <v>301</v>
      </c>
      <c r="D144" s="656">
        <v>41332</v>
      </c>
      <c r="E144" s="657" t="s">
        <v>5753</v>
      </c>
      <c r="F144" s="83" t="s">
        <v>5752</v>
      </c>
      <c r="G144" s="83"/>
      <c r="H144" s="278">
        <v>9073</v>
      </c>
      <c r="I144" s="278"/>
      <c r="J144" s="15"/>
      <c r="K144" s="15">
        <v>4000</v>
      </c>
      <c r="L144" s="15"/>
      <c r="M144" s="15">
        <f>SUM(J144:L144)</f>
        <v>4000</v>
      </c>
      <c r="N144" s="274">
        <f>M144+H144</f>
        <v>13073</v>
      </c>
      <c r="O144" s="226" t="s">
        <v>110</v>
      </c>
      <c r="P144" s="62" t="s">
        <v>105</v>
      </c>
      <c r="Q144" s="274">
        <v>4000</v>
      </c>
      <c r="R144" s="6">
        <v>4000</v>
      </c>
      <c r="S144" s="1122" t="s">
        <v>6339</v>
      </c>
      <c r="T144" s="275"/>
      <c r="U144" s="15" t="s">
        <v>302</v>
      </c>
    </row>
    <row r="145" spans="2:22" s="30" customFormat="1" ht="15">
      <c r="B145" s="254"/>
      <c r="C145" s="252"/>
      <c r="D145" s="621"/>
      <c r="E145" s="621"/>
      <c r="F145" s="249"/>
      <c r="G145" s="250"/>
      <c r="H145" s="486"/>
      <c r="I145" s="486"/>
      <c r="J145" s="253"/>
      <c r="K145" s="253"/>
      <c r="L145" s="253"/>
      <c r="M145" s="253"/>
      <c r="N145" s="328"/>
      <c r="O145" s="329"/>
      <c r="P145" s="32"/>
      <c r="Q145" s="726"/>
      <c r="R145" s="726"/>
      <c r="S145" s="726"/>
      <c r="T145" s="32"/>
      <c r="U145" s="32"/>
      <c r="V145" s="12"/>
    </row>
    <row r="146" spans="2:22" s="285" customFormat="1" ht="15">
      <c r="B146" s="280" t="s">
        <v>303</v>
      </c>
      <c r="C146" s="282"/>
      <c r="D146" s="687"/>
      <c r="E146" s="687"/>
      <c r="F146" s="281"/>
      <c r="G146" s="281"/>
      <c r="H146" s="283">
        <v>200000</v>
      </c>
      <c r="I146" s="283"/>
      <c r="J146" s="284">
        <f>SUM(J147:J216)</f>
        <v>0</v>
      </c>
      <c r="K146" s="284">
        <f>SUM(K147:K216)</f>
        <v>406160</v>
      </c>
      <c r="L146" s="284">
        <f>SUM(L147:L216)</f>
        <v>0</v>
      </c>
      <c r="M146" s="284">
        <f>SUM(M147:M216)</f>
        <v>406160</v>
      </c>
      <c r="N146" s="284">
        <f>H146+M146</f>
        <v>606160</v>
      </c>
      <c r="O146" s="193"/>
      <c r="P146" s="749"/>
      <c r="Q146" s="284">
        <f t="shared" ref="Q146:R146" si="70">SUM(Q147:Q216)</f>
        <v>414660</v>
      </c>
      <c r="R146" s="284">
        <f t="shared" si="70"/>
        <v>414660</v>
      </c>
      <c r="S146" s="286"/>
      <c r="T146" s="282"/>
    </row>
    <row r="147" spans="2:22" s="285" customFormat="1" ht="30">
      <c r="B147" s="984" t="s">
        <v>304</v>
      </c>
      <c r="C147" s="658" t="s">
        <v>306</v>
      </c>
      <c r="D147" s="656">
        <v>41305</v>
      </c>
      <c r="E147" s="656"/>
      <c r="F147" s="654" t="s">
        <v>305</v>
      </c>
      <c r="G147" s="281"/>
      <c r="H147" s="283"/>
      <c r="I147" s="283"/>
      <c r="J147" s="287"/>
      <c r="K147" s="283">
        <v>3000</v>
      </c>
      <c r="L147" s="283"/>
      <c r="M147" s="21">
        <f t="shared" ref="M147:M216" si="71">SUM(K147:L147)</f>
        <v>3000</v>
      </c>
      <c r="N147" s="21"/>
      <c r="O147" s="226" t="s">
        <v>110</v>
      </c>
      <c r="P147" s="62" t="s">
        <v>105</v>
      </c>
      <c r="Q147" s="35">
        <v>3000</v>
      </c>
      <c r="R147" s="35">
        <v>3000</v>
      </c>
      <c r="S147" s="35"/>
      <c r="T147" s="658"/>
      <c r="U147" s="523" t="s">
        <v>307</v>
      </c>
    </row>
    <row r="148" spans="2:22" s="285" customFormat="1" ht="76.5">
      <c r="B148" s="984" t="s">
        <v>308</v>
      </c>
      <c r="C148" s="658" t="s">
        <v>310</v>
      </c>
      <c r="D148" s="656">
        <v>41305</v>
      </c>
      <c r="E148" s="656"/>
      <c r="F148" s="654" t="s">
        <v>309</v>
      </c>
      <c r="G148" s="281"/>
      <c r="H148" s="283"/>
      <c r="I148" s="283"/>
      <c r="J148" s="287"/>
      <c r="K148" s="283">
        <v>3000</v>
      </c>
      <c r="L148" s="283"/>
      <c r="M148" s="21">
        <f t="shared" si="71"/>
        <v>3000</v>
      </c>
      <c r="N148" s="21"/>
      <c r="O148" s="226" t="s">
        <v>110</v>
      </c>
      <c r="P148" s="62" t="s">
        <v>105</v>
      </c>
      <c r="Q148" s="35">
        <v>3000</v>
      </c>
      <c r="R148" s="35">
        <v>3000</v>
      </c>
      <c r="S148" s="922" t="s">
        <v>4646</v>
      </c>
      <c r="T148" s="658"/>
      <c r="U148" s="523" t="s">
        <v>307</v>
      </c>
    </row>
    <row r="149" spans="2:22" s="285" customFormat="1" ht="30">
      <c r="B149" s="984" t="s">
        <v>311</v>
      </c>
      <c r="C149" s="658" t="s">
        <v>313</v>
      </c>
      <c r="D149" s="656">
        <v>41305</v>
      </c>
      <c r="E149" s="656"/>
      <c r="F149" s="654" t="s">
        <v>312</v>
      </c>
      <c r="G149" s="281"/>
      <c r="H149" s="283"/>
      <c r="I149" s="283"/>
      <c r="J149" s="287"/>
      <c r="K149" s="283">
        <v>3000</v>
      </c>
      <c r="L149" s="283"/>
      <c r="M149" s="21">
        <f t="shared" si="71"/>
        <v>3000</v>
      </c>
      <c r="N149" s="21"/>
      <c r="O149" s="226" t="s">
        <v>110</v>
      </c>
      <c r="P149" s="62" t="s">
        <v>105</v>
      </c>
      <c r="Q149" s="35">
        <v>3000</v>
      </c>
      <c r="R149" s="35">
        <v>3000</v>
      </c>
      <c r="S149" s="35"/>
      <c r="T149" s="658"/>
      <c r="U149" s="523" t="s">
        <v>307</v>
      </c>
    </row>
    <row r="150" spans="2:22" s="285" customFormat="1" ht="30">
      <c r="B150" s="984" t="s">
        <v>314</v>
      </c>
      <c r="C150" s="658" t="s">
        <v>316</v>
      </c>
      <c r="D150" s="656">
        <v>41305</v>
      </c>
      <c r="E150" s="656"/>
      <c r="F150" s="654" t="s">
        <v>315</v>
      </c>
      <c r="G150" s="281"/>
      <c r="H150" s="283"/>
      <c r="I150" s="283"/>
      <c r="J150" s="287"/>
      <c r="K150" s="283">
        <v>4500</v>
      </c>
      <c r="L150" s="283"/>
      <c r="M150" s="21">
        <f t="shared" si="71"/>
        <v>4500</v>
      </c>
      <c r="N150" s="21"/>
      <c r="O150" s="226" t="s">
        <v>110</v>
      </c>
      <c r="P150" s="62" t="s">
        <v>105</v>
      </c>
      <c r="Q150" s="35">
        <v>4500</v>
      </c>
      <c r="R150" s="35">
        <v>4500</v>
      </c>
      <c r="S150" s="35"/>
      <c r="T150" s="658"/>
      <c r="U150" s="523" t="s">
        <v>307</v>
      </c>
    </row>
    <row r="151" spans="2:22" s="285" customFormat="1" ht="30">
      <c r="B151" s="984" t="s">
        <v>317</v>
      </c>
      <c r="C151" s="658" t="s">
        <v>318</v>
      </c>
      <c r="D151" s="656">
        <v>41305</v>
      </c>
      <c r="E151" s="656"/>
      <c r="F151" s="654" t="s">
        <v>315</v>
      </c>
      <c r="G151" s="281"/>
      <c r="H151" s="283"/>
      <c r="I151" s="283"/>
      <c r="J151" s="287"/>
      <c r="K151" s="283">
        <v>16000</v>
      </c>
      <c r="L151" s="283"/>
      <c r="M151" s="21">
        <f t="shared" si="71"/>
        <v>16000</v>
      </c>
      <c r="N151" s="21"/>
      <c r="O151" s="226" t="s">
        <v>110</v>
      </c>
      <c r="P151" s="62" t="s">
        <v>105</v>
      </c>
      <c r="Q151" s="35">
        <v>16000</v>
      </c>
      <c r="R151" s="35">
        <v>16000</v>
      </c>
      <c r="S151" s="35"/>
      <c r="T151" s="658"/>
      <c r="U151" s="523" t="s">
        <v>307</v>
      </c>
    </row>
    <row r="152" spans="2:22" s="285" customFormat="1" ht="30">
      <c r="B152" s="984" t="s">
        <v>319</v>
      </c>
      <c r="C152" s="658" t="s">
        <v>320</v>
      </c>
      <c r="D152" s="656">
        <v>41305</v>
      </c>
      <c r="E152" s="656"/>
      <c r="F152" s="654" t="s">
        <v>315</v>
      </c>
      <c r="G152" s="281"/>
      <c r="H152" s="283"/>
      <c r="I152" s="283"/>
      <c r="J152" s="287"/>
      <c r="K152" s="283">
        <v>3500</v>
      </c>
      <c r="L152" s="283"/>
      <c r="M152" s="21">
        <f t="shared" si="71"/>
        <v>3500</v>
      </c>
      <c r="N152" s="21"/>
      <c r="O152" s="226" t="s">
        <v>110</v>
      </c>
      <c r="P152" s="62" t="s">
        <v>105</v>
      </c>
      <c r="Q152" s="35">
        <v>3500</v>
      </c>
      <c r="R152" s="35">
        <v>3500</v>
      </c>
      <c r="S152" s="35"/>
      <c r="T152" s="658"/>
      <c r="U152" s="523" t="s">
        <v>307</v>
      </c>
    </row>
    <row r="153" spans="2:22" s="285" customFormat="1" ht="30">
      <c r="B153" s="984" t="s">
        <v>321</v>
      </c>
      <c r="C153" s="658" t="s">
        <v>323</v>
      </c>
      <c r="D153" s="656">
        <v>41305</v>
      </c>
      <c r="E153" s="656"/>
      <c r="F153" s="654" t="s">
        <v>322</v>
      </c>
      <c r="G153" s="281"/>
      <c r="H153" s="283"/>
      <c r="I153" s="283"/>
      <c r="J153" s="287"/>
      <c r="K153" s="283">
        <v>2000</v>
      </c>
      <c r="L153" s="283"/>
      <c r="M153" s="21">
        <f t="shared" si="71"/>
        <v>2000</v>
      </c>
      <c r="N153" s="21"/>
      <c r="O153" s="226" t="s">
        <v>110</v>
      </c>
      <c r="P153" s="62" t="s">
        <v>105</v>
      </c>
      <c r="Q153" s="35">
        <v>2000</v>
      </c>
      <c r="R153" s="35">
        <v>2000</v>
      </c>
      <c r="S153" s="35"/>
      <c r="T153" s="658"/>
      <c r="U153" s="523" t="s">
        <v>307</v>
      </c>
    </row>
    <row r="154" spans="2:22" s="285" customFormat="1" ht="30">
      <c r="B154" s="984" t="s">
        <v>324</v>
      </c>
      <c r="C154" s="658" t="s">
        <v>326</v>
      </c>
      <c r="D154" s="656">
        <v>41302</v>
      </c>
      <c r="E154" s="656"/>
      <c r="F154" s="654" t="s">
        <v>325</v>
      </c>
      <c r="G154" s="281"/>
      <c r="H154" s="283"/>
      <c r="I154" s="283"/>
      <c r="J154" s="287"/>
      <c r="K154" s="283">
        <v>10000</v>
      </c>
      <c r="L154" s="283"/>
      <c r="M154" s="21">
        <f t="shared" si="71"/>
        <v>10000</v>
      </c>
      <c r="N154" s="21"/>
      <c r="O154" s="226" t="s">
        <v>110</v>
      </c>
      <c r="P154" s="62" t="s">
        <v>105</v>
      </c>
      <c r="Q154" s="35">
        <v>10000</v>
      </c>
      <c r="R154" s="35">
        <v>10000</v>
      </c>
      <c r="S154" s="35"/>
      <c r="T154" s="658"/>
      <c r="U154" s="523" t="s">
        <v>307</v>
      </c>
    </row>
    <row r="155" spans="2:22" s="285" customFormat="1" ht="30">
      <c r="B155" s="984" t="s">
        <v>319</v>
      </c>
      <c r="C155" s="658" t="s">
        <v>328</v>
      </c>
      <c r="D155" s="656">
        <v>41313</v>
      </c>
      <c r="E155" s="656"/>
      <c r="F155" s="654" t="s">
        <v>327</v>
      </c>
      <c r="G155" s="281"/>
      <c r="H155" s="283"/>
      <c r="I155" s="283"/>
      <c r="J155" s="287"/>
      <c r="K155" s="283">
        <v>3750</v>
      </c>
      <c r="L155" s="283"/>
      <c r="M155" s="21">
        <f t="shared" si="71"/>
        <v>3750</v>
      </c>
      <c r="N155" s="21"/>
      <c r="O155" s="226" t="s">
        <v>110</v>
      </c>
      <c r="P155" s="62" t="s">
        <v>105</v>
      </c>
      <c r="Q155" s="35">
        <v>3750</v>
      </c>
      <c r="R155" s="35">
        <v>3750</v>
      </c>
      <c r="S155" s="35"/>
      <c r="T155" s="658"/>
      <c r="U155" s="523" t="s">
        <v>307</v>
      </c>
    </row>
    <row r="156" spans="2:22" s="285" customFormat="1" ht="30">
      <c r="B156" s="984" t="s">
        <v>319</v>
      </c>
      <c r="C156" s="658" t="s">
        <v>329</v>
      </c>
      <c r="D156" s="656">
        <v>41313</v>
      </c>
      <c r="E156" s="656"/>
      <c r="F156" s="654" t="s">
        <v>327</v>
      </c>
      <c r="G156" s="281"/>
      <c r="H156" s="283"/>
      <c r="I156" s="283"/>
      <c r="J156" s="287"/>
      <c r="K156" s="283">
        <v>3000</v>
      </c>
      <c r="L156" s="283"/>
      <c r="M156" s="21">
        <f t="shared" si="71"/>
        <v>3000</v>
      </c>
      <c r="N156" s="21"/>
      <c r="O156" s="226" t="s">
        <v>110</v>
      </c>
      <c r="P156" s="62" t="s">
        <v>105</v>
      </c>
      <c r="Q156" s="35">
        <v>3000</v>
      </c>
      <c r="R156" s="35">
        <v>3000</v>
      </c>
      <c r="S156" s="35"/>
      <c r="T156" s="658"/>
      <c r="U156" s="523" t="s">
        <v>307</v>
      </c>
    </row>
    <row r="157" spans="2:22" s="285" customFormat="1" ht="30">
      <c r="B157" s="984" t="s">
        <v>319</v>
      </c>
      <c r="C157" s="658" t="s">
        <v>330</v>
      </c>
      <c r="D157" s="656">
        <v>41313</v>
      </c>
      <c r="E157" s="656"/>
      <c r="F157" s="654" t="s">
        <v>327</v>
      </c>
      <c r="G157" s="281"/>
      <c r="H157" s="283"/>
      <c r="I157" s="283"/>
      <c r="J157" s="287"/>
      <c r="K157" s="283">
        <v>4000</v>
      </c>
      <c r="L157" s="283"/>
      <c r="M157" s="21">
        <f t="shared" si="71"/>
        <v>4000</v>
      </c>
      <c r="N157" s="21"/>
      <c r="O157" s="226" t="s">
        <v>110</v>
      </c>
      <c r="P157" s="62" t="s">
        <v>105</v>
      </c>
      <c r="Q157" s="35">
        <v>4000</v>
      </c>
      <c r="R157" s="35">
        <v>4000</v>
      </c>
      <c r="S157" s="35"/>
      <c r="T157" s="658"/>
      <c r="U157" s="523" t="s">
        <v>307</v>
      </c>
    </row>
    <row r="158" spans="2:22" s="285" customFormat="1" ht="30">
      <c r="B158" s="984" t="s">
        <v>331</v>
      </c>
      <c r="C158" s="658" t="s">
        <v>333</v>
      </c>
      <c r="D158" s="656">
        <v>41313</v>
      </c>
      <c r="E158" s="656"/>
      <c r="F158" s="654" t="s">
        <v>332</v>
      </c>
      <c r="G158" s="281"/>
      <c r="H158" s="283"/>
      <c r="I158" s="283"/>
      <c r="J158" s="287"/>
      <c r="K158" s="283">
        <v>2000</v>
      </c>
      <c r="L158" s="283"/>
      <c r="M158" s="21">
        <f t="shared" si="71"/>
        <v>2000</v>
      </c>
      <c r="N158" s="21"/>
      <c r="O158" s="226" t="s">
        <v>110</v>
      </c>
      <c r="P158" s="62" t="s">
        <v>105</v>
      </c>
      <c r="Q158" s="35">
        <v>2000</v>
      </c>
      <c r="R158" s="35">
        <v>2000</v>
      </c>
      <c r="S158" s="35"/>
      <c r="T158" s="658"/>
      <c r="U158" s="523" t="s">
        <v>307</v>
      </c>
    </row>
    <row r="159" spans="2:22" s="285" customFormat="1" ht="30">
      <c r="B159" s="984" t="s">
        <v>331</v>
      </c>
      <c r="C159" s="658" t="s">
        <v>335</v>
      </c>
      <c r="D159" s="656">
        <v>41313</v>
      </c>
      <c r="E159" s="656"/>
      <c r="F159" s="654" t="s">
        <v>334</v>
      </c>
      <c r="G159" s="281"/>
      <c r="H159" s="283"/>
      <c r="I159" s="283"/>
      <c r="J159" s="287"/>
      <c r="K159" s="283">
        <v>7000</v>
      </c>
      <c r="L159" s="283"/>
      <c r="M159" s="21">
        <f t="shared" si="71"/>
        <v>7000</v>
      </c>
      <c r="N159" s="21"/>
      <c r="O159" s="226" t="s">
        <v>110</v>
      </c>
      <c r="P159" s="62" t="s">
        <v>105</v>
      </c>
      <c r="Q159" s="35">
        <v>7000</v>
      </c>
      <c r="R159" s="35">
        <v>7000</v>
      </c>
      <c r="S159" s="35"/>
      <c r="T159" s="658"/>
      <c r="U159" s="523" t="s">
        <v>307</v>
      </c>
    </row>
    <row r="160" spans="2:22" s="285" customFormat="1" ht="30">
      <c r="B160" s="984" t="s">
        <v>321</v>
      </c>
      <c r="C160" s="658" t="s">
        <v>336</v>
      </c>
      <c r="D160" s="656">
        <v>41317</v>
      </c>
      <c r="E160" s="656"/>
      <c r="F160" s="654" t="s">
        <v>315</v>
      </c>
      <c r="G160" s="281"/>
      <c r="H160" s="283"/>
      <c r="I160" s="283"/>
      <c r="J160" s="287"/>
      <c r="K160" s="283">
        <v>10000</v>
      </c>
      <c r="L160" s="283"/>
      <c r="M160" s="21">
        <f t="shared" si="71"/>
        <v>10000</v>
      </c>
      <c r="N160" s="21"/>
      <c r="O160" s="226" t="s">
        <v>110</v>
      </c>
      <c r="P160" s="62" t="s">
        <v>105</v>
      </c>
      <c r="Q160" s="35">
        <v>10000</v>
      </c>
      <c r="R160" s="35">
        <v>10000</v>
      </c>
      <c r="S160" s="35"/>
      <c r="T160" s="658"/>
      <c r="U160" s="523" t="s">
        <v>307</v>
      </c>
    </row>
    <row r="161" spans="2:21" s="285" customFormat="1" ht="15">
      <c r="B161" s="1097" t="s">
        <v>6545</v>
      </c>
      <c r="C161" s="658"/>
      <c r="D161" s="656"/>
      <c r="E161" s="656"/>
      <c r="F161" s="654"/>
      <c r="G161" s="281"/>
      <c r="H161" s="283"/>
      <c r="I161" s="283"/>
      <c r="J161" s="287"/>
      <c r="K161" s="283"/>
      <c r="L161" s="283"/>
      <c r="M161" s="21"/>
      <c r="N161" s="21"/>
      <c r="O161" s="226"/>
      <c r="P161" s="62"/>
      <c r="Q161" s="35"/>
      <c r="R161" s="35"/>
      <c r="S161" s="283" t="s">
        <v>6549</v>
      </c>
      <c r="T161" s="658"/>
      <c r="U161" s="523"/>
    </row>
    <row r="162" spans="2:21" s="285" customFormat="1" ht="15">
      <c r="B162" s="1097" t="s">
        <v>6546</v>
      </c>
      <c r="C162" s="658"/>
      <c r="D162" s="656"/>
      <c r="E162" s="656"/>
      <c r="F162" s="654"/>
      <c r="G162" s="281"/>
      <c r="H162" s="283"/>
      <c r="I162" s="283"/>
      <c r="J162" s="287"/>
      <c r="K162" s="283"/>
      <c r="L162" s="283"/>
      <c r="M162" s="21"/>
      <c r="N162" s="21"/>
      <c r="O162" s="226"/>
      <c r="P162" s="62"/>
      <c r="Q162" s="35"/>
      <c r="R162" s="35"/>
      <c r="S162" s="283" t="s">
        <v>6550</v>
      </c>
      <c r="T162" s="658"/>
      <c r="U162" s="523"/>
    </row>
    <row r="163" spans="2:21" s="285" customFormat="1" ht="15">
      <c r="B163" s="1097" t="s">
        <v>6547</v>
      </c>
      <c r="C163" s="658"/>
      <c r="D163" s="656"/>
      <c r="E163" s="656"/>
      <c r="F163" s="654"/>
      <c r="G163" s="281"/>
      <c r="H163" s="283"/>
      <c r="I163" s="283"/>
      <c r="J163" s="287"/>
      <c r="K163" s="283"/>
      <c r="L163" s="283"/>
      <c r="M163" s="21"/>
      <c r="N163" s="21"/>
      <c r="O163" s="226"/>
      <c r="P163" s="62"/>
      <c r="Q163" s="35"/>
      <c r="R163" s="35"/>
      <c r="S163" s="283" t="s">
        <v>6551</v>
      </c>
      <c r="T163" s="658"/>
      <c r="U163" s="523"/>
    </row>
    <row r="164" spans="2:21" s="285" customFormat="1" ht="15">
      <c r="B164" s="1097" t="s">
        <v>6548</v>
      </c>
      <c r="C164" s="658"/>
      <c r="D164" s="656"/>
      <c r="E164" s="656"/>
      <c r="F164" s="654"/>
      <c r="G164" s="281"/>
      <c r="H164" s="283"/>
      <c r="I164" s="283"/>
      <c r="J164" s="287"/>
      <c r="K164" s="283"/>
      <c r="L164" s="283"/>
      <c r="M164" s="21"/>
      <c r="N164" s="21"/>
      <c r="O164" s="226"/>
      <c r="P164" s="62"/>
      <c r="Q164" s="35"/>
      <c r="R164" s="35"/>
      <c r="S164" s="35"/>
      <c r="T164" s="658"/>
      <c r="U164" s="523"/>
    </row>
    <row r="165" spans="2:21" s="285" customFormat="1" ht="15">
      <c r="B165" s="984"/>
      <c r="C165" s="658"/>
      <c r="D165" s="656"/>
      <c r="E165" s="656"/>
      <c r="F165" s="654"/>
      <c r="G165" s="281"/>
      <c r="H165" s="283"/>
      <c r="I165" s="283"/>
      <c r="J165" s="287"/>
      <c r="K165" s="283"/>
      <c r="L165" s="283"/>
      <c r="M165" s="21"/>
      <c r="N165" s="21"/>
      <c r="O165" s="226"/>
      <c r="P165" s="62"/>
      <c r="Q165" s="35"/>
      <c r="R165" s="35"/>
      <c r="S165" s="35"/>
      <c r="T165" s="658"/>
      <c r="U165" s="523"/>
    </row>
    <row r="166" spans="2:21" s="285" customFormat="1" ht="30">
      <c r="B166" s="984" t="s">
        <v>337</v>
      </c>
      <c r="C166" s="658" t="s">
        <v>339</v>
      </c>
      <c r="D166" s="656">
        <v>41318</v>
      </c>
      <c r="E166" s="656"/>
      <c r="F166" s="654" t="s">
        <v>338</v>
      </c>
      <c r="G166" s="281"/>
      <c r="H166" s="283"/>
      <c r="I166" s="283"/>
      <c r="J166" s="287"/>
      <c r="K166" s="283">
        <v>5000</v>
      </c>
      <c r="L166" s="283"/>
      <c r="M166" s="21">
        <f t="shared" si="71"/>
        <v>5000</v>
      </c>
      <c r="N166" s="21"/>
      <c r="O166" s="226" t="s">
        <v>110</v>
      </c>
      <c r="P166" s="62" t="s">
        <v>105</v>
      </c>
      <c r="Q166" s="35">
        <v>5000</v>
      </c>
      <c r="R166" s="35">
        <v>5000</v>
      </c>
      <c r="S166" s="35"/>
      <c r="T166" s="658"/>
      <c r="U166" s="523" t="s">
        <v>307</v>
      </c>
    </row>
    <row r="167" spans="2:21" s="285" customFormat="1" ht="30">
      <c r="B167" s="985" t="s">
        <v>340</v>
      </c>
      <c r="C167" s="658" t="s">
        <v>342</v>
      </c>
      <c r="D167" s="656">
        <v>41318</v>
      </c>
      <c r="E167" s="656"/>
      <c r="F167" s="654" t="s">
        <v>341</v>
      </c>
      <c r="G167" s="281"/>
      <c r="H167" s="283"/>
      <c r="I167" s="283"/>
      <c r="J167" s="287"/>
      <c r="K167" s="283">
        <v>5000</v>
      </c>
      <c r="L167" s="283"/>
      <c r="M167" s="21">
        <f t="shared" si="71"/>
        <v>5000</v>
      </c>
      <c r="N167" s="21"/>
      <c r="O167" s="226" t="s">
        <v>110</v>
      </c>
      <c r="P167" s="62" t="s">
        <v>105</v>
      </c>
      <c r="Q167" s="35">
        <v>5000</v>
      </c>
      <c r="R167" s="35">
        <v>5000</v>
      </c>
      <c r="S167" s="35"/>
      <c r="T167" s="658"/>
      <c r="U167" s="523" t="s">
        <v>307</v>
      </c>
    </row>
    <row r="168" spans="2:21" s="285" customFormat="1" ht="30">
      <c r="B168" s="984" t="s">
        <v>343</v>
      </c>
      <c r="C168" s="658" t="s">
        <v>345</v>
      </c>
      <c r="D168" s="656">
        <v>41318</v>
      </c>
      <c r="E168" s="656"/>
      <c r="F168" s="654" t="s">
        <v>344</v>
      </c>
      <c r="G168" s="281"/>
      <c r="H168" s="283"/>
      <c r="I168" s="283"/>
      <c r="J168" s="287"/>
      <c r="K168" s="283">
        <v>5000</v>
      </c>
      <c r="L168" s="283"/>
      <c r="M168" s="21">
        <f t="shared" si="71"/>
        <v>5000</v>
      </c>
      <c r="N168" s="21"/>
      <c r="O168" s="226" t="s">
        <v>110</v>
      </c>
      <c r="P168" s="62" t="s">
        <v>105</v>
      </c>
      <c r="Q168" s="35">
        <v>5000</v>
      </c>
      <c r="R168" s="35">
        <v>5000</v>
      </c>
      <c r="S168" s="35"/>
      <c r="T168" s="658"/>
      <c r="U168" s="523" t="s">
        <v>307</v>
      </c>
    </row>
    <row r="169" spans="2:21" s="285" customFormat="1" ht="30">
      <c r="B169" s="984" t="s">
        <v>314</v>
      </c>
      <c r="C169" s="658" t="s">
        <v>347</v>
      </c>
      <c r="D169" s="656">
        <v>41318</v>
      </c>
      <c r="E169" s="656"/>
      <c r="F169" s="654" t="s">
        <v>346</v>
      </c>
      <c r="G169" s="281"/>
      <c r="H169" s="283"/>
      <c r="I169" s="283"/>
      <c r="J169" s="287"/>
      <c r="K169" s="283">
        <v>3000</v>
      </c>
      <c r="L169" s="283"/>
      <c r="M169" s="21">
        <f t="shared" si="71"/>
        <v>3000</v>
      </c>
      <c r="N169" s="21"/>
      <c r="O169" s="226" t="s">
        <v>110</v>
      </c>
      <c r="P169" s="62" t="s">
        <v>105</v>
      </c>
      <c r="Q169" s="35">
        <v>3000</v>
      </c>
      <c r="R169" s="35">
        <v>3000</v>
      </c>
      <c r="S169" s="35"/>
      <c r="T169" s="658"/>
      <c r="U169" s="523" t="s">
        <v>307</v>
      </c>
    </row>
    <row r="170" spans="2:21" s="285" customFormat="1" ht="30">
      <c r="B170" s="984" t="s">
        <v>304</v>
      </c>
      <c r="C170" s="658" t="s">
        <v>348</v>
      </c>
      <c r="D170" s="657">
        <v>41324</v>
      </c>
      <c r="E170" s="657"/>
      <c r="F170" s="654" t="s">
        <v>315</v>
      </c>
      <c r="G170" s="281"/>
      <c r="H170" s="283"/>
      <c r="I170" s="283"/>
      <c r="J170" s="287"/>
      <c r="K170" s="283">
        <v>33000</v>
      </c>
      <c r="L170" s="283"/>
      <c r="M170" s="21">
        <f t="shared" si="71"/>
        <v>33000</v>
      </c>
      <c r="N170" s="21"/>
      <c r="O170" s="226" t="s">
        <v>110</v>
      </c>
      <c r="P170" s="62" t="s">
        <v>105</v>
      </c>
      <c r="Q170" s="35">
        <v>33000</v>
      </c>
      <c r="R170" s="35">
        <v>33000</v>
      </c>
      <c r="S170" s="35"/>
      <c r="T170" s="658"/>
      <c r="U170" s="523" t="s">
        <v>307</v>
      </c>
    </row>
    <row r="171" spans="2:21" s="285" customFormat="1" ht="30">
      <c r="B171" s="984" t="s">
        <v>349</v>
      </c>
      <c r="C171" s="658" t="s">
        <v>350</v>
      </c>
      <c r="D171" s="657">
        <v>41324</v>
      </c>
      <c r="E171" s="657"/>
      <c r="F171" s="654" t="s">
        <v>315</v>
      </c>
      <c r="G171" s="281"/>
      <c r="H171" s="283"/>
      <c r="I171" s="283"/>
      <c r="J171" s="287"/>
      <c r="K171" s="283">
        <v>30000</v>
      </c>
      <c r="L171" s="283"/>
      <c r="M171" s="21">
        <f t="shared" si="71"/>
        <v>30000</v>
      </c>
      <c r="N171" s="21"/>
      <c r="O171" s="226" t="s">
        <v>110</v>
      </c>
      <c r="P171" s="62" t="s">
        <v>105</v>
      </c>
      <c r="Q171" s="35">
        <v>30000</v>
      </c>
      <c r="R171" s="35">
        <v>30000</v>
      </c>
      <c r="S171" s="35"/>
      <c r="T171" s="658"/>
      <c r="U171" s="523" t="s">
        <v>307</v>
      </c>
    </row>
    <row r="172" spans="2:21" s="285" customFormat="1" ht="30">
      <c r="B172" s="984" t="s">
        <v>311</v>
      </c>
      <c r="C172" s="658" t="s">
        <v>351</v>
      </c>
      <c r="D172" s="657">
        <v>41324</v>
      </c>
      <c r="E172" s="657"/>
      <c r="F172" s="654" t="s">
        <v>315</v>
      </c>
      <c r="G172" s="281"/>
      <c r="H172" s="283"/>
      <c r="I172" s="283"/>
      <c r="J172" s="287"/>
      <c r="K172" s="283">
        <v>8500</v>
      </c>
      <c r="L172" s="283"/>
      <c r="M172" s="21">
        <f t="shared" si="71"/>
        <v>8500</v>
      </c>
      <c r="N172" s="21"/>
      <c r="O172" s="226" t="s">
        <v>110</v>
      </c>
      <c r="P172" s="62" t="s">
        <v>105</v>
      </c>
      <c r="Q172" s="1047">
        <f>SUM(Q173:Q175)</f>
        <v>8500</v>
      </c>
      <c r="R172" s="1047">
        <f>SUM(R173:R175)</f>
        <v>8500</v>
      </c>
      <c r="S172" s="1067"/>
      <c r="T172" s="658"/>
      <c r="U172" s="523" t="s">
        <v>307</v>
      </c>
    </row>
    <row r="173" spans="2:21" s="285" customFormat="1" ht="15">
      <c r="B173" s="984" t="s">
        <v>5387</v>
      </c>
      <c r="C173" s="658"/>
      <c r="D173" s="657"/>
      <c r="E173" s="657"/>
      <c r="F173" s="654"/>
      <c r="G173" s="281"/>
      <c r="H173" s="283"/>
      <c r="I173" s="283"/>
      <c r="J173" s="287"/>
      <c r="K173" s="283"/>
      <c r="L173" s="283"/>
      <c r="M173" s="21"/>
      <c r="N173" s="21"/>
      <c r="O173" s="226"/>
      <c r="P173" s="62"/>
      <c r="Q173" s="1067">
        <v>3000</v>
      </c>
      <c r="R173" s="1067">
        <v>3000</v>
      </c>
      <c r="S173" s="1067" t="s">
        <v>6164</v>
      </c>
      <c r="T173" s="658"/>
      <c r="U173" s="523"/>
    </row>
    <row r="174" spans="2:21" s="285" customFormat="1" ht="15">
      <c r="B174" s="984" t="s">
        <v>5312</v>
      </c>
      <c r="C174" s="658"/>
      <c r="D174" s="657"/>
      <c r="E174" s="657"/>
      <c r="F174" s="654"/>
      <c r="G174" s="281"/>
      <c r="H174" s="283"/>
      <c r="I174" s="283"/>
      <c r="J174" s="287"/>
      <c r="K174" s="283"/>
      <c r="L174" s="283"/>
      <c r="M174" s="21"/>
      <c r="N174" s="21"/>
      <c r="O174" s="226"/>
      <c r="P174" s="62"/>
      <c r="Q174" s="1067">
        <v>5000</v>
      </c>
      <c r="R174" s="1067">
        <v>5000</v>
      </c>
      <c r="S174" s="1067" t="s">
        <v>6165</v>
      </c>
      <c r="T174" s="658"/>
      <c r="U174" s="523"/>
    </row>
    <row r="175" spans="2:21" s="285" customFormat="1" ht="30">
      <c r="B175" s="984" t="s">
        <v>5087</v>
      </c>
      <c r="C175" s="658"/>
      <c r="D175" s="657"/>
      <c r="E175" s="657"/>
      <c r="F175" s="654"/>
      <c r="G175" s="281"/>
      <c r="H175" s="283"/>
      <c r="I175" s="283"/>
      <c r="J175" s="287"/>
      <c r="K175" s="283"/>
      <c r="L175" s="283"/>
      <c r="M175" s="21"/>
      <c r="N175" s="21"/>
      <c r="O175" s="226"/>
      <c r="P175" s="62"/>
      <c r="Q175" s="35">
        <v>500</v>
      </c>
      <c r="R175" s="35">
        <v>500</v>
      </c>
      <c r="S175" s="760" t="s">
        <v>6166</v>
      </c>
      <c r="T175" s="658"/>
      <c r="U175" s="523"/>
    </row>
    <row r="176" spans="2:21" s="285" customFormat="1" ht="30">
      <c r="B176" s="984" t="s">
        <v>314</v>
      </c>
      <c r="C176" s="658" t="s">
        <v>352</v>
      </c>
      <c r="D176" s="657">
        <v>41324</v>
      </c>
      <c r="E176" s="657"/>
      <c r="F176" s="654" t="s">
        <v>315</v>
      </c>
      <c r="G176" s="281"/>
      <c r="H176" s="283"/>
      <c r="I176" s="283"/>
      <c r="J176" s="287"/>
      <c r="K176" s="283">
        <v>15400</v>
      </c>
      <c r="L176" s="283"/>
      <c r="M176" s="21">
        <f t="shared" si="71"/>
        <v>15400</v>
      </c>
      <c r="N176" s="21"/>
      <c r="O176" s="226" t="s">
        <v>110</v>
      </c>
      <c r="P176" s="62" t="s">
        <v>105</v>
      </c>
      <c r="Q176" s="35">
        <v>15400</v>
      </c>
      <c r="R176" s="35">
        <v>15400</v>
      </c>
      <c r="S176" s="35"/>
      <c r="T176" s="658"/>
      <c r="U176" s="523" t="s">
        <v>307</v>
      </c>
    </row>
    <row r="177" spans="2:21" s="285" customFormat="1" ht="30">
      <c r="B177" s="984" t="s">
        <v>319</v>
      </c>
      <c r="C177" s="658" t="s">
        <v>354</v>
      </c>
      <c r="D177" s="657">
        <v>41324</v>
      </c>
      <c r="E177" s="657"/>
      <c r="F177" s="654" t="s">
        <v>353</v>
      </c>
      <c r="G177" s="281"/>
      <c r="H177" s="283"/>
      <c r="I177" s="283"/>
      <c r="J177" s="287"/>
      <c r="K177" s="283">
        <v>1100</v>
      </c>
      <c r="L177" s="283"/>
      <c r="M177" s="21">
        <f t="shared" si="71"/>
        <v>1100</v>
      </c>
      <c r="N177" s="21"/>
      <c r="O177" s="226" t="s">
        <v>110</v>
      </c>
      <c r="P177" s="62" t="s">
        <v>105</v>
      </c>
      <c r="Q177" s="35">
        <v>1100</v>
      </c>
      <c r="R177" s="35">
        <v>1100</v>
      </c>
      <c r="S177" s="35"/>
      <c r="T177" s="658"/>
      <c r="U177" s="523" t="s">
        <v>307</v>
      </c>
    </row>
    <row r="178" spans="2:21" s="285" customFormat="1" ht="30">
      <c r="B178" s="984" t="s">
        <v>317</v>
      </c>
      <c r="C178" s="658" t="s">
        <v>356</v>
      </c>
      <c r="D178" s="656">
        <v>41330</v>
      </c>
      <c r="E178" s="656"/>
      <c r="F178" s="654" t="s">
        <v>355</v>
      </c>
      <c r="G178" s="281"/>
      <c r="H178" s="283"/>
      <c r="I178" s="283"/>
      <c r="J178" s="287"/>
      <c r="K178" s="283">
        <v>5000</v>
      </c>
      <c r="L178" s="283"/>
      <c r="M178" s="21">
        <f t="shared" si="71"/>
        <v>5000</v>
      </c>
      <c r="N178" s="21"/>
      <c r="O178" s="226" t="s">
        <v>110</v>
      </c>
      <c r="P178" s="62" t="s">
        <v>105</v>
      </c>
      <c r="Q178" s="35">
        <v>5000</v>
      </c>
      <c r="R178" s="35">
        <v>5000</v>
      </c>
      <c r="S178" s="35"/>
      <c r="T178" s="658"/>
      <c r="U178" s="523" t="s">
        <v>307</v>
      </c>
    </row>
    <row r="179" spans="2:21" s="285" customFormat="1" ht="30">
      <c r="B179" s="984" t="s">
        <v>343</v>
      </c>
      <c r="C179" s="658" t="s">
        <v>358</v>
      </c>
      <c r="D179" s="656">
        <v>41330</v>
      </c>
      <c r="E179" s="656"/>
      <c r="F179" s="654" t="s">
        <v>357</v>
      </c>
      <c r="G179" s="281"/>
      <c r="H179" s="283"/>
      <c r="I179" s="283"/>
      <c r="J179" s="287"/>
      <c r="K179" s="283">
        <v>4000</v>
      </c>
      <c r="L179" s="283"/>
      <c r="M179" s="21">
        <f t="shared" si="71"/>
        <v>4000</v>
      </c>
      <c r="N179" s="21"/>
      <c r="O179" s="226" t="s">
        <v>110</v>
      </c>
      <c r="P179" s="62" t="s">
        <v>105</v>
      </c>
      <c r="Q179" s="35">
        <v>4000</v>
      </c>
      <c r="R179" s="35">
        <v>4000</v>
      </c>
      <c r="S179" s="35"/>
      <c r="T179" s="658"/>
      <c r="U179" s="523" t="s">
        <v>307</v>
      </c>
    </row>
    <row r="180" spans="2:21" s="285" customFormat="1" ht="30">
      <c r="B180" s="984" t="s">
        <v>314</v>
      </c>
      <c r="C180" s="658" t="s">
        <v>360</v>
      </c>
      <c r="D180" s="656">
        <v>41330</v>
      </c>
      <c r="E180" s="656"/>
      <c r="F180" s="654" t="s">
        <v>359</v>
      </c>
      <c r="G180" s="281"/>
      <c r="H180" s="283"/>
      <c r="I180" s="283"/>
      <c r="J180" s="287"/>
      <c r="K180" s="283">
        <v>1000</v>
      </c>
      <c r="L180" s="283"/>
      <c r="M180" s="21">
        <f t="shared" si="71"/>
        <v>1000</v>
      </c>
      <c r="N180" s="21"/>
      <c r="O180" s="226" t="s">
        <v>110</v>
      </c>
      <c r="P180" s="62" t="s">
        <v>105</v>
      </c>
      <c r="Q180" s="35">
        <v>1000</v>
      </c>
      <c r="R180" s="35">
        <v>1000</v>
      </c>
      <c r="S180" s="35"/>
      <c r="T180" s="658"/>
      <c r="U180" s="523" t="s">
        <v>307</v>
      </c>
    </row>
    <row r="181" spans="2:21" s="285" customFormat="1" ht="30">
      <c r="B181" s="984" t="s">
        <v>314</v>
      </c>
      <c r="C181" s="658" t="s">
        <v>362</v>
      </c>
      <c r="D181" s="656">
        <v>41332</v>
      </c>
      <c r="E181" s="656"/>
      <c r="F181" s="654" t="s">
        <v>361</v>
      </c>
      <c r="G181" s="281"/>
      <c r="H181" s="283"/>
      <c r="I181" s="283"/>
      <c r="J181" s="287"/>
      <c r="K181" s="283">
        <v>3560</v>
      </c>
      <c r="L181" s="283"/>
      <c r="M181" s="21">
        <f t="shared" si="71"/>
        <v>3560</v>
      </c>
      <c r="N181" s="21"/>
      <c r="O181" s="226" t="s">
        <v>110</v>
      </c>
      <c r="P181" s="62" t="s">
        <v>105</v>
      </c>
      <c r="Q181" s="35">
        <v>3560</v>
      </c>
      <c r="R181" s="35">
        <v>3560</v>
      </c>
      <c r="S181" s="35"/>
      <c r="T181" s="658"/>
      <c r="U181" s="523" t="s">
        <v>307</v>
      </c>
    </row>
    <row r="182" spans="2:21" s="285" customFormat="1" ht="30">
      <c r="B182" s="984" t="s">
        <v>337</v>
      </c>
      <c r="C182" s="658" t="s">
        <v>363</v>
      </c>
      <c r="D182" s="656">
        <v>41332</v>
      </c>
      <c r="E182" s="656"/>
      <c r="F182" s="654" t="s">
        <v>315</v>
      </c>
      <c r="G182" s="281"/>
      <c r="H182" s="283"/>
      <c r="I182" s="283"/>
      <c r="J182" s="287"/>
      <c r="K182" s="283">
        <v>5000</v>
      </c>
      <c r="L182" s="283"/>
      <c r="M182" s="21">
        <f t="shared" si="71"/>
        <v>5000</v>
      </c>
      <c r="N182" s="21"/>
      <c r="O182" s="226" t="s">
        <v>110</v>
      </c>
      <c r="P182" s="62" t="s">
        <v>105</v>
      </c>
      <c r="Q182" s="35">
        <v>5000</v>
      </c>
      <c r="R182" s="35">
        <v>5000</v>
      </c>
      <c r="S182" s="35"/>
      <c r="T182" s="658"/>
      <c r="U182" s="523" t="s">
        <v>307</v>
      </c>
    </row>
    <row r="183" spans="2:21" s="285" customFormat="1" ht="30">
      <c r="B183" s="984" t="s">
        <v>331</v>
      </c>
      <c r="C183" s="658" t="s">
        <v>365</v>
      </c>
      <c r="D183" s="656">
        <v>41334</v>
      </c>
      <c r="E183" s="656"/>
      <c r="F183" s="654" t="s">
        <v>364</v>
      </c>
      <c r="G183" s="281"/>
      <c r="H183" s="283"/>
      <c r="I183" s="283"/>
      <c r="J183" s="287"/>
      <c r="K183" s="283">
        <v>5000</v>
      </c>
      <c r="L183" s="283"/>
      <c r="M183" s="21">
        <f t="shared" si="71"/>
        <v>5000</v>
      </c>
      <c r="N183" s="21"/>
      <c r="O183" s="226" t="s">
        <v>110</v>
      </c>
      <c r="P183" s="62" t="s">
        <v>105</v>
      </c>
      <c r="Q183" s="35">
        <v>5000</v>
      </c>
      <c r="R183" s="35">
        <v>5000</v>
      </c>
      <c r="S183" s="35"/>
      <c r="T183" s="658"/>
      <c r="U183" s="523" t="s">
        <v>307</v>
      </c>
    </row>
    <row r="184" spans="2:21" s="285" customFormat="1" ht="30">
      <c r="B184" s="984" t="s">
        <v>314</v>
      </c>
      <c r="C184" s="658" t="s">
        <v>367</v>
      </c>
      <c r="D184" s="656">
        <v>41334</v>
      </c>
      <c r="E184" s="656"/>
      <c r="F184" s="654" t="s">
        <v>366</v>
      </c>
      <c r="G184" s="281"/>
      <c r="H184" s="283"/>
      <c r="I184" s="283"/>
      <c r="J184" s="287"/>
      <c r="K184" s="283">
        <v>10000</v>
      </c>
      <c r="L184" s="283"/>
      <c r="M184" s="21">
        <f t="shared" si="71"/>
        <v>10000</v>
      </c>
      <c r="N184" s="21"/>
      <c r="O184" s="226" t="s">
        <v>110</v>
      </c>
      <c r="P184" s="62" t="s">
        <v>105</v>
      </c>
      <c r="Q184" s="35">
        <v>10000</v>
      </c>
      <c r="R184" s="35">
        <v>10000</v>
      </c>
      <c r="S184" s="35"/>
      <c r="T184" s="658"/>
      <c r="U184" s="523" t="s">
        <v>307</v>
      </c>
    </row>
    <row r="185" spans="2:21" s="285" customFormat="1" ht="30">
      <c r="B185" s="984" t="s">
        <v>304</v>
      </c>
      <c r="C185" s="658" t="s">
        <v>369</v>
      </c>
      <c r="D185" s="656">
        <v>41334</v>
      </c>
      <c r="E185" s="656"/>
      <c r="F185" s="654" t="s">
        <v>368</v>
      </c>
      <c r="G185" s="281"/>
      <c r="H185" s="283"/>
      <c r="I185" s="283"/>
      <c r="J185" s="287"/>
      <c r="K185" s="283">
        <v>450</v>
      </c>
      <c r="L185" s="283"/>
      <c r="M185" s="21">
        <f t="shared" si="71"/>
        <v>450</v>
      </c>
      <c r="N185" s="21"/>
      <c r="O185" s="226" t="s">
        <v>110</v>
      </c>
      <c r="P185" s="62" t="s">
        <v>105</v>
      </c>
      <c r="Q185" s="35">
        <v>450</v>
      </c>
      <c r="R185" s="35">
        <v>450</v>
      </c>
      <c r="S185" s="35"/>
      <c r="T185" s="658"/>
      <c r="U185" s="523" t="s">
        <v>307</v>
      </c>
    </row>
    <row r="186" spans="2:21" s="285" customFormat="1" ht="30">
      <c r="B186" s="984" t="s">
        <v>314</v>
      </c>
      <c r="C186" s="658" t="s">
        <v>371</v>
      </c>
      <c r="D186" s="656">
        <v>41334</v>
      </c>
      <c r="E186" s="656"/>
      <c r="F186" s="654" t="s">
        <v>370</v>
      </c>
      <c r="G186" s="281"/>
      <c r="H186" s="283"/>
      <c r="I186" s="283"/>
      <c r="J186" s="287"/>
      <c r="K186" s="283">
        <v>10000</v>
      </c>
      <c r="L186" s="283"/>
      <c r="M186" s="21">
        <f t="shared" si="71"/>
        <v>10000</v>
      </c>
      <c r="N186" s="21"/>
      <c r="O186" s="226" t="s">
        <v>110</v>
      </c>
      <c r="P186" s="62" t="s">
        <v>105</v>
      </c>
      <c r="Q186" s="35">
        <v>10000</v>
      </c>
      <c r="R186" s="35">
        <v>10000</v>
      </c>
      <c r="S186" s="35"/>
      <c r="T186" s="658"/>
      <c r="U186" s="523" t="s">
        <v>307</v>
      </c>
    </row>
    <row r="187" spans="2:21" s="285" customFormat="1" ht="30">
      <c r="B187" s="984" t="s">
        <v>311</v>
      </c>
      <c r="C187" s="658" t="s">
        <v>373</v>
      </c>
      <c r="D187" s="656">
        <v>41334</v>
      </c>
      <c r="E187" s="656"/>
      <c r="F187" s="654" t="s">
        <v>372</v>
      </c>
      <c r="G187" s="281"/>
      <c r="H187" s="283"/>
      <c r="I187" s="283"/>
      <c r="J187" s="287"/>
      <c r="K187" s="283">
        <v>1250</v>
      </c>
      <c r="L187" s="283"/>
      <c r="M187" s="21">
        <f t="shared" si="71"/>
        <v>1250</v>
      </c>
      <c r="N187" s="21"/>
      <c r="O187" s="226" t="s">
        <v>110</v>
      </c>
      <c r="P187" s="62" t="s">
        <v>105</v>
      </c>
      <c r="Q187" s="35">
        <v>1250</v>
      </c>
      <c r="R187" s="35">
        <v>1250</v>
      </c>
      <c r="S187" s="35"/>
      <c r="T187" s="658"/>
      <c r="U187" s="523" t="s">
        <v>307</v>
      </c>
    </row>
    <row r="188" spans="2:21" s="285" customFormat="1" ht="30">
      <c r="B188" s="984" t="s">
        <v>311</v>
      </c>
      <c r="C188" s="658" t="s">
        <v>375</v>
      </c>
      <c r="D188" s="656">
        <v>41334</v>
      </c>
      <c r="E188" s="656"/>
      <c r="F188" s="654" t="s">
        <v>374</v>
      </c>
      <c r="G188" s="281"/>
      <c r="H188" s="283"/>
      <c r="I188" s="283"/>
      <c r="J188" s="287"/>
      <c r="K188" s="283">
        <v>5000</v>
      </c>
      <c r="L188" s="283"/>
      <c r="M188" s="21">
        <f t="shared" si="71"/>
        <v>5000</v>
      </c>
      <c r="N188" s="21"/>
      <c r="O188" s="226" t="s">
        <v>110</v>
      </c>
      <c r="P188" s="62" t="s">
        <v>105</v>
      </c>
      <c r="Q188" s="35">
        <v>5000</v>
      </c>
      <c r="R188" s="35">
        <v>5000</v>
      </c>
      <c r="S188" s="35"/>
      <c r="T188" s="658"/>
      <c r="U188" s="523" t="s">
        <v>307</v>
      </c>
    </row>
    <row r="189" spans="2:21" s="285" customFormat="1" ht="30">
      <c r="B189" s="984" t="s">
        <v>304</v>
      </c>
      <c r="C189" s="658" t="s">
        <v>377</v>
      </c>
      <c r="D189" s="656">
        <v>41334</v>
      </c>
      <c r="E189" s="656"/>
      <c r="F189" s="654" t="s">
        <v>376</v>
      </c>
      <c r="G189" s="281"/>
      <c r="H189" s="283"/>
      <c r="I189" s="283"/>
      <c r="J189" s="287"/>
      <c r="K189" s="283">
        <v>10000</v>
      </c>
      <c r="L189" s="283"/>
      <c r="M189" s="21">
        <f t="shared" si="71"/>
        <v>10000</v>
      </c>
      <c r="N189" s="21"/>
      <c r="O189" s="226" t="s">
        <v>110</v>
      </c>
      <c r="P189" s="62" t="s">
        <v>105</v>
      </c>
      <c r="Q189" s="35">
        <v>10000</v>
      </c>
      <c r="R189" s="35">
        <v>10000</v>
      </c>
      <c r="S189" s="35"/>
      <c r="T189" s="658"/>
      <c r="U189" s="523" t="s">
        <v>307</v>
      </c>
    </row>
    <row r="190" spans="2:21" s="285" customFormat="1" ht="30">
      <c r="B190" s="984" t="s">
        <v>340</v>
      </c>
      <c r="C190" s="658" t="s">
        <v>379</v>
      </c>
      <c r="D190" s="656">
        <v>41334</v>
      </c>
      <c r="E190" s="656"/>
      <c r="F190" s="654" t="s">
        <v>378</v>
      </c>
      <c r="G190" s="281"/>
      <c r="H190" s="283"/>
      <c r="I190" s="283"/>
      <c r="J190" s="287"/>
      <c r="K190" s="283">
        <v>9000</v>
      </c>
      <c r="L190" s="283"/>
      <c r="M190" s="21">
        <f t="shared" si="71"/>
        <v>9000</v>
      </c>
      <c r="N190" s="21"/>
      <c r="O190" s="226" t="s">
        <v>110</v>
      </c>
      <c r="P190" s="62" t="s">
        <v>105</v>
      </c>
      <c r="Q190" s="35">
        <v>9000</v>
      </c>
      <c r="R190" s="35">
        <v>9000</v>
      </c>
      <c r="S190" s="35"/>
      <c r="T190" s="658"/>
      <c r="U190" s="523" t="s">
        <v>307</v>
      </c>
    </row>
    <row r="191" spans="2:21" s="285" customFormat="1" ht="30">
      <c r="B191" s="984" t="s">
        <v>380</v>
      </c>
      <c r="C191" s="658" t="s">
        <v>381</v>
      </c>
      <c r="D191" s="656">
        <v>41334</v>
      </c>
      <c r="E191" s="656"/>
      <c r="F191" s="654" t="s">
        <v>315</v>
      </c>
      <c r="G191" s="281"/>
      <c r="H191" s="283"/>
      <c r="I191" s="283"/>
      <c r="J191" s="287"/>
      <c r="K191" s="283">
        <v>4600</v>
      </c>
      <c r="L191" s="283"/>
      <c r="M191" s="21">
        <f t="shared" si="71"/>
        <v>4600</v>
      </c>
      <c r="N191" s="21"/>
      <c r="O191" s="226" t="s">
        <v>110</v>
      </c>
      <c r="P191" s="62" t="s">
        <v>105</v>
      </c>
      <c r="Q191" s="35">
        <v>4600</v>
      </c>
      <c r="R191" s="35">
        <v>4600</v>
      </c>
      <c r="S191" s="35"/>
      <c r="T191" s="658"/>
      <c r="U191" s="523" t="s">
        <v>307</v>
      </c>
    </row>
    <row r="192" spans="2:21" s="285" customFormat="1" ht="30">
      <c r="B192" s="984" t="s">
        <v>319</v>
      </c>
      <c r="C192" s="658" t="s">
        <v>383</v>
      </c>
      <c r="D192" s="656">
        <v>41334</v>
      </c>
      <c r="E192" s="656"/>
      <c r="F192" s="654" t="s">
        <v>382</v>
      </c>
      <c r="G192" s="281"/>
      <c r="H192" s="283"/>
      <c r="I192" s="283"/>
      <c r="J192" s="287"/>
      <c r="K192" s="283">
        <v>150</v>
      </c>
      <c r="L192" s="283"/>
      <c r="M192" s="21">
        <f t="shared" si="71"/>
        <v>150</v>
      </c>
      <c r="N192" s="21"/>
      <c r="O192" s="226" t="s">
        <v>110</v>
      </c>
      <c r="P192" s="62" t="s">
        <v>105</v>
      </c>
      <c r="Q192" s="35">
        <v>150</v>
      </c>
      <c r="R192" s="35">
        <v>150</v>
      </c>
      <c r="S192" s="35"/>
      <c r="T192" s="658"/>
      <c r="U192" s="523" t="s">
        <v>307</v>
      </c>
    </row>
    <row r="193" spans="2:21" s="285" customFormat="1" ht="30">
      <c r="B193" s="984" t="s">
        <v>331</v>
      </c>
      <c r="C193" s="658" t="s">
        <v>385</v>
      </c>
      <c r="D193" s="656">
        <v>41334</v>
      </c>
      <c r="E193" s="656"/>
      <c r="F193" s="654" t="s">
        <v>384</v>
      </c>
      <c r="G193" s="281"/>
      <c r="H193" s="283"/>
      <c r="I193" s="283"/>
      <c r="J193" s="287"/>
      <c r="K193" s="283">
        <v>10000</v>
      </c>
      <c r="L193" s="283"/>
      <c r="M193" s="21">
        <f t="shared" si="71"/>
        <v>10000</v>
      </c>
      <c r="N193" s="21"/>
      <c r="O193" s="226" t="s">
        <v>110</v>
      </c>
      <c r="P193" s="62" t="s">
        <v>105</v>
      </c>
      <c r="Q193" s="35">
        <v>10000</v>
      </c>
      <c r="R193" s="35">
        <v>10000</v>
      </c>
      <c r="S193" s="35"/>
      <c r="T193" s="658"/>
      <c r="U193" s="523" t="s">
        <v>307</v>
      </c>
    </row>
    <row r="194" spans="2:21" s="285" customFormat="1" ht="30">
      <c r="B194" s="984" t="s">
        <v>311</v>
      </c>
      <c r="C194" s="658" t="s">
        <v>387</v>
      </c>
      <c r="D194" s="656">
        <v>41334</v>
      </c>
      <c r="E194" s="656"/>
      <c r="F194" s="654" t="s">
        <v>386</v>
      </c>
      <c r="G194" s="281"/>
      <c r="H194" s="283"/>
      <c r="I194" s="283"/>
      <c r="J194" s="287"/>
      <c r="K194" s="283">
        <v>10000</v>
      </c>
      <c r="L194" s="283"/>
      <c r="M194" s="21">
        <f t="shared" si="71"/>
        <v>10000</v>
      </c>
      <c r="N194" s="21"/>
      <c r="O194" s="226" t="s">
        <v>110</v>
      </c>
      <c r="P194" s="62" t="s">
        <v>105</v>
      </c>
      <c r="Q194" s="35">
        <v>10000</v>
      </c>
      <c r="R194" s="35">
        <v>10000</v>
      </c>
      <c r="S194" s="35"/>
      <c r="T194" s="658"/>
      <c r="U194" s="523" t="s">
        <v>307</v>
      </c>
    </row>
    <row r="195" spans="2:21" s="285" customFormat="1" ht="30">
      <c r="B195" s="984" t="s">
        <v>388</v>
      </c>
      <c r="C195" s="658" t="s">
        <v>390</v>
      </c>
      <c r="D195" s="656">
        <v>41334</v>
      </c>
      <c r="E195" s="656"/>
      <c r="F195" s="654" t="s">
        <v>389</v>
      </c>
      <c r="G195" s="281"/>
      <c r="H195" s="283"/>
      <c r="I195" s="283"/>
      <c r="J195" s="287"/>
      <c r="K195" s="283">
        <v>10000</v>
      </c>
      <c r="L195" s="283"/>
      <c r="M195" s="21">
        <f t="shared" si="71"/>
        <v>10000</v>
      </c>
      <c r="N195" s="21"/>
      <c r="O195" s="226" t="s">
        <v>110</v>
      </c>
      <c r="P195" s="62" t="s">
        <v>105</v>
      </c>
      <c r="Q195" s="35">
        <v>10000</v>
      </c>
      <c r="R195" s="35">
        <v>10000</v>
      </c>
      <c r="S195" s="35"/>
      <c r="T195" s="658"/>
      <c r="U195" s="523" t="s">
        <v>307</v>
      </c>
    </row>
    <row r="196" spans="2:21" s="285" customFormat="1" ht="30">
      <c r="B196" s="984" t="s">
        <v>314</v>
      </c>
      <c r="C196" s="658" t="s">
        <v>392</v>
      </c>
      <c r="D196" s="656">
        <v>41341</v>
      </c>
      <c r="E196" s="656"/>
      <c r="F196" s="654" t="s">
        <v>391</v>
      </c>
      <c r="G196" s="281"/>
      <c r="H196" s="283"/>
      <c r="I196" s="283"/>
      <c r="J196" s="287"/>
      <c r="K196" s="283">
        <v>4000</v>
      </c>
      <c r="L196" s="283"/>
      <c r="M196" s="21">
        <f t="shared" si="71"/>
        <v>4000</v>
      </c>
      <c r="N196" s="21"/>
      <c r="O196" s="226" t="s">
        <v>110</v>
      </c>
      <c r="P196" s="62" t="s">
        <v>105</v>
      </c>
      <c r="Q196" s="35">
        <v>4000</v>
      </c>
      <c r="R196" s="35">
        <v>4000</v>
      </c>
      <c r="S196" s="35"/>
      <c r="T196" s="658"/>
      <c r="U196" s="523" t="s">
        <v>307</v>
      </c>
    </row>
    <row r="197" spans="2:21" s="285" customFormat="1" ht="30">
      <c r="B197" s="984" t="s">
        <v>337</v>
      </c>
      <c r="C197" s="658" t="s">
        <v>394</v>
      </c>
      <c r="D197" s="656">
        <v>41347</v>
      </c>
      <c r="E197" s="656"/>
      <c r="F197" s="654" t="s">
        <v>393</v>
      </c>
      <c r="G197" s="281"/>
      <c r="H197" s="283"/>
      <c r="I197" s="283"/>
      <c r="J197" s="287"/>
      <c r="K197" s="283">
        <v>4300</v>
      </c>
      <c r="L197" s="283"/>
      <c r="M197" s="21">
        <f t="shared" si="71"/>
        <v>4300</v>
      </c>
      <c r="N197" s="21"/>
      <c r="O197" s="226" t="s">
        <v>110</v>
      </c>
      <c r="P197" s="62" t="s">
        <v>105</v>
      </c>
      <c r="Q197" s="35">
        <v>4300</v>
      </c>
      <c r="R197" s="35">
        <v>4300</v>
      </c>
      <c r="S197" s="35"/>
      <c r="T197" s="658"/>
      <c r="U197" s="523" t="s">
        <v>307</v>
      </c>
    </row>
    <row r="198" spans="2:21" s="285" customFormat="1" ht="30">
      <c r="B198" s="984" t="s">
        <v>331</v>
      </c>
      <c r="C198" s="658" t="s">
        <v>395</v>
      </c>
      <c r="D198" s="656">
        <v>41348</v>
      </c>
      <c r="E198" s="656"/>
      <c r="F198" s="654" t="s">
        <v>315</v>
      </c>
      <c r="G198" s="281"/>
      <c r="H198" s="283"/>
      <c r="I198" s="283"/>
      <c r="J198" s="287"/>
      <c r="K198" s="283">
        <v>11100</v>
      </c>
      <c r="L198" s="283"/>
      <c r="M198" s="21">
        <f t="shared" si="71"/>
        <v>11100</v>
      </c>
      <c r="N198" s="21"/>
      <c r="O198" s="226" t="s">
        <v>110</v>
      </c>
      <c r="P198" s="62" t="s">
        <v>105</v>
      </c>
      <c r="Q198" s="35">
        <v>11100</v>
      </c>
      <c r="R198" s="35">
        <v>11100</v>
      </c>
      <c r="S198" s="35"/>
      <c r="T198" s="658"/>
      <c r="U198" s="523" t="s">
        <v>307</v>
      </c>
    </row>
    <row r="199" spans="2:21" s="285" customFormat="1" ht="30">
      <c r="B199" s="984" t="s">
        <v>380</v>
      </c>
      <c r="C199" s="658" t="s">
        <v>396</v>
      </c>
      <c r="D199" s="656">
        <v>41348</v>
      </c>
      <c r="E199" s="656"/>
      <c r="F199" s="654" t="s">
        <v>315</v>
      </c>
      <c r="G199" s="281"/>
      <c r="H199" s="283"/>
      <c r="I199" s="283"/>
      <c r="J199" s="287"/>
      <c r="K199" s="283">
        <v>3900</v>
      </c>
      <c r="L199" s="283"/>
      <c r="M199" s="21">
        <f t="shared" si="71"/>
        <v>3900</v>
      </c>
      <c r="N199" s="21"/>
      <c r="O199" s="226" t="s">
        <v>110</v>
      </c>
      <c r="P199" s="62" t="s">
        <v>105</v>
      </c>
      <c r="Q199" s="35">
        <v>3900</v>
      </c>
      <c r="R199" s="35">
        <v>3900</v>
      </c>
      <c r="S199" s="35"/>
      <c r="T199" s="658"/>
      <c r="U199" s="523" t="s">
        <v>307</v>
      </c>
    </row>
    <row r="200" spans="2:21" s="285" customFormat="1" ht="30">
      <c r="B200" s="984" t="s">
        <v>308</v>
      </c>
      <c r="C200" s="658" t="s">
        <v>398</v>
      </c>
      <c r="D200" s="656">
        <v>41348</v>
      </c>
      <c r="E200" s="656"/>
      <c r="F200" s="654" t="s">
        <v>397</v>
      </c>
      <c r="G200" s="281"/>
      <c r="H200" s="283"/>
      <c r="I200" s="283"/>
      <c r="J200" s="287"/>
      <c r="K200" s="283">
        <v>3000</v>
      </c>
      <c r="L200" s="283"/>
      <c r="M200" s="21">
        <f t="shared" si="71"/>
        <v>3000</v>
      </c>
      <c r="N200" s="21"/>
      <c r="O200" s="226" t="s">
        <v>110</v>
      </c>
      <c r="P200" s="62" t="s">
        <v>105</v>
      </c>
      <c r="Q200" s="35">
        <v>3000</v>
      </c>
      <c r="R200" s="35">
        <v>3000</v>
      </c>
      <c r="S200" s="1046" t="s">
        <v>6203</v>
      </c>
      <c r="T200" s="658"/>
      <c r="U200" s="523" t="s">
        <v>307</v>
      </c>
    </row>
    <row r="201" spans="2:21" s="285" customFormat="1" ht="30">
      <c r="B201" s="984" t="s">
        <v>304</v>
      </c>
      <c r="C201" s="658" t="s">
        <v>400</v>
      </c>
      <c r="D201" s="656">
        <v>41348</v>
      </c>
      <c r="E201" s="656"/>
      <c r="F201" s="654" t="s">
        <v>399</v>
      </c>
      <c r="G201" s="281"/>
      <c r="H201" s="283"/>
      <c r="I201" s="283"/>
      <c r="J201" s="287"/>
      <c r="K201" s="283">
        <v>75</v>
      </c>
      <c r="L201" s="283"/>
      <c r="M201" s="21">
        <f t="shared" si="71"/>
        <v>75</v>
      </c>
      <c r="N201" s="21"/>
      <c r="O201" s="226" t="s">
        <v>110</v>
      </c>
      <c r="P201" s="62" t="s">
        <v>105</v>
      </c>
      <c r="Q201" s="35">
        <v>75</v>
      </c>
      <c r="R201" s="35">
        <v>75</v>
      </c>
      <c r="S201" s="35"/>
      <c r="T201" s="658"/>
      <c r="U201" s="523" t="s">
        <v>307</v>
      </c>
    </row>
    <row r="202" spans="2:21" s="285" customFormat="1" ht="30">
      <c r="B202" s="984" t="s">
        <v>337</v>
      </c>
      <c r="C202" s="658" t="s">
        <v>402</v>
      </c>
      <c r="D202" s="656">
        <v>41352</v>
      </c>
      <c r="E202" s="656"/>
      <c r="F202" s="654" t="s">
        <v>401</v>
      </c>
      <c r="G202" s="281"/>
      <c r="H202" s="283"/>
      <c r="I202" s="283"/>
      <c r="J202" s="287"/>
      <c r="K202" s="283">
        <v>8000</v>
      </c>
      <c r="L202" s="283"/>
      <c r="M202" s="21">
        <f t="shared" si="71"/>
        <v>8000</v>
      </c>
      <c r="N202" s="21"/>
      <c r="O202" s="226" t="s">
        <v>110</v>
      </c>
      <c r="P202" s="62" t="s">
        <v>105</v>
      </c>
      <c r="Q202" s="35">
        <v>8000</v>
      </c>
      <c r="R202" s="35">
        <v>8000</v>
      </c>
      <c r="S202" s="35"/>
      <c r="T202" s="658"/>
      <c r="U202" s="523" t="s">
        <v>307</v>
      </c>
    </row>
    <row r="203" spans="2:21" s="285" customFormat="1" ht="30">
      <c r="B203" s="984" t="s">
        <v>337</v>
      </c>
      <c r="C203" s="658" t="s">
        <v>403</v>
      </c>
      <c r="D203" s="656">
        <v>41352</v>
      </c>
      <c r="E203" s="656"/>
      <c r="F203" s="654" t="s">
        <v>401</v>
      </c>
      <c r="G203" s="281"/>
      <c r="H203" s="283"/>
      <c r="I203" s="283"/>
      <c r="J203" s="287"/>
      <c r="K203" s="283">
        <v>15000</v>
      </c>
      <c r="L203" s="283"/>
      <c r="M203" s="21">
        <f t="shared" si="71"/>
        <v>15000</v>
      </c>
      <c r="N203" s="21"/>
      <c r="O203" s="226" t="s">
        <v>110</v>
      </c>
      <c r="P203" s="62" t="s">
        <v>105</v>
      </c>
      <c r="Q203" s="35">
        <v>15000</v>
      </c>
      <c r="R203" s="35">
        <v>15000</v>
      </c>
      <c r="S203" s="35"/>
      <c r="T203" s="658"/>
      <c r="U203" s="523" t="s">
        <v>307</v>
      </c>
    </row>
    <row r="204" spans="2:21" s="285" customFormat="1" ht="30">
      <c r="B204" s="984" t="s">
        <v>319</v>
      </c>
      <c r="C204" s="658" t="s">
        <v>404</v>
      </c>
      <c r="D204" s="656">
        <v>41354</v>
      </c>
      <c r="E204" s="656"/>
      <c r="F204" s="654" t="s">
        <v>315</v>
      </c>
      <c r="G204" s="281"/>
      <c r="H204" s="283"/>
      <c r="I204" s="283"/>
      <c r="J204" s="287"/>
      <c r="K204" s="283">
        <v>4000</v>
      </c>
      <c r="L204" s="283"/>
      <c r="M204" s="21">
        <f t="shared" si="71"/>
        <v>4000</v>
      </c>
      <c r="N204" s="21"/>
      <c r="O204" s="226" t="s">
        <v>110</v>
      </c>
      <c r="P204" s="62" t="s">
        <v>105</v>
      </c>
      <c r="Q204" s="35">
        <v>4000</v>
      </c>
      <c r="R204" s="35">
        <v>4000</v>
      </c>
      <c r="S204" s="35"/>
      <c r="T204" s="658"/>
      <c r="U204" s="523" t="s">
        <v>307</v>
      </c>
    </row>
    <row r="205" spans="2:21" s="285" customFormat="1" ht="30">
      <c r="B205" s="984" t="s">
        <v>343</v>
      </c>
      <c r="C205" s="658" t="s">
        <v>406</v>
      </c>
      <c r="D205" s="656">
        <v>41354</v>
      </c>
      <c r="E205" s="656"/>
      <c r="F205" s="654" t="s">
        <v>405</v>
      </c>
      <c r="G205" s="281"/>
      <c r="H205" s="283"/>
      <c r="I205" s="283"/>
      <c r="J205" s="287"/>
      <c r="K205" s="283">
        <v>10000</v>
      </c>
      <c r="L205" s="283"/>
      <c r="M205" s="21">
        <f t="shared" si="71"/>
        <v>10000</v>
      </c>
      <c r="N205" s="21"/>
      <c r="O205" s="226" t="s">
        <v>110</v>
      </c>
      <c r="P205" s="62" t="s">
        <v>105</v>
      </c>
      <c r="Q205" s="35">
        <v>10000</v>
      </c>
      <c r="R205" s="35">
        <v>10000</v>
      </c>
      <c r="S205" s="35"/>
      <c r="T205" s="658"/>
      <c r="U205" s="523" t="s">
        <v>307</v>
      </c>
    </row>
    <row r="206" spans="2:21" s="285" customFormat="1" ht="30">
      <c r="B206" s="984" t="s">
        <v>304</v>
      </c>
      <c r="C206" s="658" t="s">
        <v>408</v>
      </c>
      <c r="D206" s="656">
        <v>41354</v>
      </c>
      <c r="E206" s="656"/>
      <c r="F206" s="654" t="s">
        <v>407</v>
      </c>
      <c r="G206" s="281"/>
      <c r="H206" s="283"/>
      <c r="I206" s="283"/>
      <c r="J206" s="287"/>
      <c r="K206" s="283">
        <v>1000</v>
      </c>
      <c r="L206" s="283"/>
      <c r="M206" s="21">
        <f t="shared" si="71"/>
        <v>1000</v>
      </c>
      <c r="N206" s="21"/>
      <c r="O206" s="226" t="s">
        <v>110</v>
      </c>
      <c r="P206" s="62" t="s">
        <v>105</v>
      </c>
      <c r="Q206" s="35">
        <v>1000</v>
      </c>
      <c r="R206" s="35">
        <v>1000</v>
      </c>
      <c r="S206" s="35"/>
      <c r="T206" s="658"/>
      <c r="U206" s="523" t="s">
        <v>307</v>
      </c>
    </row>
    <row r="207" spans="2:21" s="285" customFormat="1" ht="30">
      <c r="B207" s="984" t="s">
        <v>331</v>
      </c>
      <c r="C207" s="658" t="s">
        <v>410</v>
      </c>
      <c r="D207" s="656">
        <v>41355</v>
      </c>
      <c r="E207" s="656"/>
      <c r="F207" s="654" t="s">
        <v>409</v>
      </c>
      <c r="G207" s="281"/>
      <c r="H207" s="283"/>
      <c r="I207" s="283"/>
      <c r="J207" s="287"/>
      <c r="K207" s="283">
        <v>30000</v>
      </c>
      <c r="L207" s="283"/>
      <c r="M207" s="21">
        <f t="shared" si="71"/>
        <v>30000</v>
      </c>
      <c r="N207" s="21"/>
      <c r="O207" s="226" t="s">
        <v>110</v>
      </c>
      <c r="P207" s="62" t="s">
        <v>105</v>
      </c>
      <c r="Q207" s="35">
        <v>30000</v>
      </c>
      <c r="R207" s="35">
        <v>30000</v>
      </c>
      <c r="S207" s="35"/>
      <c r="T207" s="658"/>
      <c r="U207" s="523" t="s">
        <v>307</v>
      </c>
    </row>
    <row r="208" spans="2:21" s="285" customFormat="1" ht="30">
      <c r="B208" s="984" t="s">
        <v>304</v>
      </c>
      <c r="C208" s="658" t="s">
        <v>412</v>
      </c>
      <c r="D208" s="656">
        <v>41355</v>
      </c>
      <c r="E208" s="656"/>
      <c r="F208" s="654" t="s">
        <v>411</v>
      </c>
      <c r="G208" s="281"/>
      <c r="H208" s="283"/>
      <c r="I208" s="283"/>
      <c r="J208" s="287"/>
      <c r="K208" s="283">
        <v>75</v>
      </c>
      <c r="L208" s="283"/>
      <c r="M208" s="21">
        <f t="shared" si="71"/>
        <v>75</v>
      </c>
      <c r="N208" s="21"/>
      <c r="O208" s="226" t="s">
        <v>110</v>
      </c>
      <c r="P208" s="62" t="s">
        <v>105</v>
      </c>
      <c r="Q208" s="35">
        <v>75</v>
      </c>
      <c r="R208" s="35">
        <v>75</v>
      </c>
      <c r="S208" s="35"/>
      <c r="T208" s="658"/>
      <c r="U208" s="523" t="s">
        <v>307</v>
      </c>
    </row>
    <row r="209" spans="2:22" s="285" customFormat="1" ht="30">
      <c r="B209" s="984" t="s">
        <v>337</v>
      </c>
      <c r="C209" s="658" t="s">
        <v>413</v>
      </c>
      <c r="D209" s="656">
        <v>41355</v>
      </c>
      <c r="E209" s="656"/>
      <c r="F209" s="654" t="s">
        <v>338</v>
      </c>
      <c r="G209" s="281"/>
      <c r="H209" s="283"/>
      <c r="I209" s="283"/>
      <c r="J209" s="287"/>
      <c r="K209" s="283">
        <v>9600</v>
      </c>
      <c r="L209" s="283"/>
      <c r="M209" s="21">
        <f t="shared" si="71"/>
        <v>9600</v>
      </c>
      <c r="N209" s="21"/>
      <c r="O209" s="226" t="s">
        <v>110</v>
      </c>
      <c r="P209" s="62" t="s">
        <v>105</v>
      </c>
      <c r="Q209" s="35">
        <v>9600</v>
      </c>
      <c r="R209" s="35">
        <v>9600</v>
      </c>
      <c r="S209" s="35"/>
      <c r="T209" s="658"/>
      <c r="U209" s="523" t="s">
        <v>307</v>
      </c>
    </row>
    <row r="210" spans="2:22" s="285" customFormat="1" ht="30">
      <c r="B210" s="984" t="s">
        <v>349</v>
      </c>
      <c r="C210" s="658" t="s">
        <v>415</v>
      </c>
      <c r="D210" s="656">
        <v>41358</v>
      </c>
      <c r="E210" s="656"/>
      <c r="F210" s="654" t="s">
        <v>414</v>
      </c>
      <c r="G210" s="281"/>
      <c r="H210" s="283"/>
      <c r="I210" s="283"/>
      <c r="J210" s="287"/>
      <c r="K210" s="283">
        <v>1100</v>
      </c>
      <c r="L210" s="283"/>
      <c r="M210" s="21">
        <f t="shared" si="71"/>
        <v>1100</v>
      </c>
      <c r="N210" s="21"/>
      <c r="O210" s="226" t="s">
        <v>110</v>
      </c>
      <c r="P210" s="62" t="s">
        <v>105</v>
      </c>
      <c r="Q210" s="35">
        <v>1100</v>
      </c>
      <c r="R210" s="35">
        <v>1100</v>
      </c>
      <c r="S210" s="35"/>
      <c r="T210" s="658"/>
      <c r="U210" s="523" t="s">
        <v>307</v>
      </c>
    </row>
    <row r="211" spans="2:22" s="285" customFormat="1" ht="30">
      <c r="B211" s="984" t="s">
        <v>380</v>
      </c>
      <c r="C211" s="658" t="s">
        <v>417</v>
      </c>
      <c r="D211" s="656">
        <v>41358</v>
      </c>
      <c r="E211" s="656"/>
      <c r="F211" s="654" t="s">
        <v>416</v>
      </c>
      <c r="G211" s="281"/>
      <c r="H211" s="283"/>
      <c r="I211" s="283"/>
      <c r="J211" s="287"/>
      <c r="K211" s="283">
        <v>10000</v>
      </c>
      <c r="L211" s="283"/>
      <c r="M211" s="21">
        <f t="shared" si="71"/>
        <v>10000</v>
      </c>
      <c r="N211" s="21"/>
      <c r="O211" s="226" t="s">
        <v>110</v>
      </c>
      <c r="P211" s="62" t="s">
        <v>105</v>
      </c>
      <c r="Q211" s="35">
        <v>10000</v>
      </c>
      <c r="R211" s="35">
        <v>10000</v>
      </c>
      <c r="S211" s="35"/>
      <c r="T211" s="658"/>
      <c r="U211" s="523" t="s">
        <v>307</v>
      </c>
    </row>
    <row r="212" spans="2:22" s="285" customFormat="1" ht="30">
      <c r="B212" s="984" t="s">
        <v>311</v>
      </c>
      <c r="C212" s="658" t="s">
        <v>419</v>
      </c>
      <c r="D212" s="656">
        <v>41358</v>
      </c>
      <c r="E212" s="656"/>
      <c r="F212" s="654" t="s">
        <v>418</v>
      </c>
      <c r="G212" s="281"/>
      <c r="H212" s="283"/>
      <c r="I212" s="283"/>
      <c r="J212" s="287"/>
      <c r="K212" s="283">
        <v>1000</v>
      </c>
      <c r="L212" s="283"/>
      <c r="M212" s="21">
        <f t="shared" si="71"/>
        <v>1000</v>
      </c>
      <c r="N212" s="21"/>
      <c r="O212" s="226" t="s">
        <v>110</v>
      </c>
      <c r="P212" s="62" t="s">
        <v>105</v>
      </c>
      <c r="Q212" s="35">
        <v>1000</v>
      </c>
      <c r="R212" s="35">
        <v>1000</v>
      </c>
      <c r="S212" s="35"/>
      <c r="T212" s="658"/>
      <c r="U212" s="523" t="s">
        <v>307</v>
      </c>
    </row>
    <row r="213" spans="2:22" s="285" customFormat="1" ht="30">
      <c r="B213" s="984" t="s">
        <v>304</v>
      </c>
      <c r="C213" s="658" t="s">
        <v>421</v>
      </c>
      <c r="D213" s="656">
        <v>41415</v>
      </c>
      <c r="E213" s="656"/>
      <c r="F213" s="654" t="s">
        <v>420</v>
      </c>
      <c r="G213" s="281"/>
      <c r="H213" s="283"/>
      <c r="I213" s="283"/>
      <c r="J213" s="287"/>
      <c r="K213" s="283">
        <v>250</v>
      </c>
      <c r="L213" s="283"/>
      <c r="M213" s="21">
        <f t="shared" si="71"/>
        <v>250</v>
      </c>
      <c r="N213" s="21"/>
      <c r="O213" s="226" t="s">
        <v>110</v>
      </c>
      <c r="P213" s="62" t="s">
        <v>105</v>
      </c>
      <c r="Q213" s="35">
        <v>250</v>
      </c>
      <c r="R213" s="35">
        <v>250</v>
      </c>
      <c r="S213" s="35"/>
      <c r="T213" s="658"/>
      <c r="U213" s="523" t="s">
        <v>307</v>
      </c>
    </row>
    <row r="214" spans="2:22" s="285" customFormat="1" ht="30">
      <c r="B214" s="984" t="s">
        <v>337</v>
      </c>
      <c r="C214" s="658" t="s">
        <v>422</v>
      </c>
      <c r="D214" s="656">
        <v>41415</v>
      </c>
      <c r="E214" s="656"/>
      <c r="F214" s="654" t="s">
        <v>401</v>
      </c>
      <c r="G214" s="281"/>
      <c r="H214" s="283"/>
      <c r="I214" s="283"/>
      <c r="J214" s="287"/>
      <c r="K214" s="283">
        <v>2000</v>
      </c>
      <c r="L214" s="283"/>
      <c r="M214" s="21">
        <f t="shared" si="71"/>
        <v>2000</v>
      </c>
      <c r="N214" s="21"/>
      <c r="O214" s="226" t="s">
        <v>110</v>
      </c>
      <c r="P214" s="62" t="s">
        <v>105</v>
      </c>
      <c r="Q214" s="35">
        <v>2000</v>
      </c>
      <c r="R214" s="35">
        <v>2000</v>
      </c>
      <c r="S214" s="35"/>
      <c r="T214" s="658"/>
      <c r="U214" s="523" t="s">
        <v>307</v>
      </c>
    </row>
    <row r="215" spans="2:22" s="285" customFormat="1" ht="30">
      <c r="B215" s="984" t="s">
        <v>388</v>
      </c>
      <c r="C215" s="658" t="s">
        <v>424</v>
      </c>
      <c r="D215" s="656">
        <v>41428</v>
      </c>
      <c r="E215" s="656"/>
      <c r="F215" s="654" t="s">
        <v>423</v>
      </c>
      <c r="G215" s="281"/>
      <c r="H215" s="283"/>
      <c r="I215" s="283"/>
      <c r="J215" s="287"/>
      <c r="K215" s="283">
        <v>500</v>
      </c>
      <c r="L215" s="283"/>
      <c r="M215" s="21">
        <f t="shared" si="71"/>
        <v>500</v>
      </c>
      <c r="N215" s="21"/>
      <c r="O215" s="226" t="s">
        <v>110</v>
      </c>
      <c r="P215" s="62" t="s">
        <v>105</v>
      </c>
      <c r="Q215" s="35">
        <v>500</v>
      </c>
      <c r="R215" s="35">
        <v>500</v>
      </c>
      <c r="S215" s="35"/>
      <c r="T215" s="658"/>
      <c r="U215" s="523" t="s">
        <v>307</v>
      </c>
    </row>
    <row r="216" spans="2:22" s="285" customFormat="1" ht="30">
      <c r="B216" s="984" t="s">
        <v>321</v>
      </c>
      <c r="C216" s="658" t="s">
        <v>426</v>
      </c>
      <c r="D216" s="656">
        <v>41463</v>
      </c>
      <c r="E216" s="656"/>
      <c r="F216" s="654" t="s">
        <v>425</v>
      </c>
      <c r="G216" s="281"/>
      <c r="H216" s="283"/>
      <c r="I216" s="283"/>
      <c r="J216" s="287"/>
      <c r="K216" s="283">
        <v>2500</v>
      </c>
      <c r="L216" s="283"/>
      <c r="M216" s="21">
        <f t="shared" si="71"/>
        <v>2500</v>
      </c>
      <c r="N216" s="21"/>
      <c r="O216" s="226" t="s">
        <v>110</v>
      </c>
      <c r="P216" s="62" t="s">
        <v>105</v>
      </c>
      <c r="Q216" s="35">
        <v>2500</v>
      </c>
      <c r="R216" s="35">
        <v>2500</v>
      </c>
      <c r="S216" s="35"/>
      <c r="T216" s="658"/>
      <c r="U216" s="523" t="s">
        <v>307</v>
      </c>
    </row>
    <row r="217" spans="2:22" s="285" customFormat="1" ht="15">
      <c r="B217" s="1096" t="s">
        <v>6472</v>
      </c>
      <c r="C217" s="658"/>
      <c r="D217" s="656"/>
      <c r="E217" s="656"/>
      <c r="F217" s="654"/>
      <c r="G217" s="281"/>
      <c r="H217" s="283"/>
      <c r="I217" s="283"/>
      <c r="J217" s="287"/>
      <c r="K217" s="283"/>
      <c r="L217" s="283"/>
      <c r="M217" s="21"/>
      <c r="N217" s="21"/>
      <c r="O217" s="226"/>
      <c r="P217" s="62"/>
      <c r="Q217" s="35"/>
      <c r="R217" s="35"/>
      <c r="S217" s="1230" t="s">
        <v>6554</v>
      </c>
      <c r="T217" s="658"/>
      <c r="U217" s="523"/>
    </row>
    <row r="218" spans="2:22" s="285" customFormat="1" ht="15">
      <c r="B218" s="1096" t="s">
        <v>6552</v>
      </c>
      <c r="C218" s="658"/>
      <c r="D218" s="656"/>
      <c r="E218" s="656"/>
      <c r="F218" s="654"/>
      <c r="G218" s="281"/>
      <c r="H218" s="283"/>
      <c r="I218" s="283"/>
      <c r="J218" s="287"/>
      <c r="K218" s="283"/>
      <c r="L218" s="283"/>
      <c r="M218" s="21"/>
      <c r="N218" s="21"/>
      <c r="O218" s="226"/>
      <c r="P218" s="62"/>
      <c r="Q218" s="35"/>
      <c r="R218" s="35"/>
      <c r="S218" s="1249"/>
      <c r="T218" s="658"/>
      <c r="U218" s="523"/>
    </row>
    <row r="219" spans="2:22" s="285" customFormat="1" ht="15">
      <c r="B219" s="1250" t="s">
        <v>6553</v>
      </c>
      <c r="C219" s="658"/>
      <c r="D219" s="656"/>
      <c r="E219" s="656"/>
      <c r="F219" s="654"/>
      <c r="G219" s="281"/>
      <c r="H219" s="283"/>
      <c r="I219" s="283"/>
      <c r="J219" s="287"/>
      <c r="K219" s="283"/>
      <c r="L219" s="283"/>
      <c r="M219" s="21"/>
      <c r="N219" s="21"/>
      <c r="O219" s="226"/>
      <c r="P219" s="62"/>
      <c r="Q219" s="35"/>
      <c r="R219" s="35"/>
      <c r="S219" s="1251" t="s">
        <v>6555</v>
      </c>
      <c r="T219" s="658"/>
      <c r="U219" s="523"/>
    </row>
    <row r="220" spans="2:22" s="285" customFormat="1" ht="15">
      <c r="B220" s="984"/>
      <c r="C220" s="658"/>
      <c r="D220" s="656"/>
      <c r="E220" s="656"/>
      <c r="F220" s="654"/>
      <c r="G220" s="281"/>
      <c r="H220" s="283"/>
      <c r="I220" s="283"/>
      <c r="J220" s="287"/>
      <c r="K220" s="283"/>
      <c r="L220" s="283"/>
      <c r="M220" s="21"/>
      <c r="N220" s="21"/>
      <c r="O220" s="226"/>
      <c r="P220" s="62"/>
      <c r="Q220" s="35"/>
      <c r="R220" s="35"/>
      <c r="S220" s="35"/>
      <c r="T220" s="658"/>
      <c r="U220" s="523"/>
    </row>
    <row r="221" spans="2:22" s="30" customFormat="1" ht="15">
      <c r="B221" s="254"/>
      <c r="C221" s="252"/>
      <c r="D221" s="621"/>
      <c r="E221" s="621"/>
      <c r="F221" s="249"/>
      <c r="G221" s="250"/>
      <c r="H221" s="486"/>
      <c r="I221" s="486"/>
      <c r="J221" s="253"/>
      <c r="K221" s="253"/>
      <c r="L221" s="253"/>
      <c r="M221" s="253"/>
      <c r="N221" s="328"/>
      <c r="O221" s="329"/>
      <c r="P221" s="62"/>
      <c r="Q221" s="726"/>
      <c r="R221" s="726"/>
      <c r="S221" s="726"/>
      <c r="T221" s="32"/>
      <c r="U221" s="32"/>
      <c r="V221" s="12"/>
    </row>
    <row r="222" spans="2:22" s="30" customFormat="1" ht="15">
      <c r="B222" s="289" t="s">
        <v>71</v>
      </c>
      <c r="C222" s="252"/>
      <c r="D222" s="621"/>
      <c r="E222" s="621"/>
      <c r="F222" s="249"/>
      <c r="G222" s="250"/>
      <c r="H222" s="486"/>
      <c r="I222" s="486"/>
      <c r="J222" s="276">
        <f>J223+J227+J230+J237+J243</f>
        <v>0</v>
      </c>
      <c r="K222" s="276">
        <f t="shared" ref="K222:M222" si="72">K223+K227+K230+K237+K243</f>
        <v>25440</v>
      </c>
      <c r="L222" s="276">
        <f t="shared" si="72"/>
        <v>0</v>
      </c>
      <c r="M222" s="276">
        <f t="shared" si="72"/>
        <v>25440</v>
      </c>
      <c r="N222" s="328"/>
      <c r="O222" s="329"/>
      <c r="P222" s="32"/>
      <c r="Q222" s="276">
        <f t="shared" ref="Q222:R222" si="73">Q223+Q227+Q230+Q237+Q243</f>
        <v>7600</v>
      </c>
      <c r="R222" s="276">
        <f t="shared" si="73"/>
        <v>3195.32</v>
      </c>
      <c r="S222" s="726"/>
      <c r="T222" s="32"/>
      <c r="U222" s="32"/>
      <c r="V222" s="12"/>
    </row>
    <row r="223" spans="2:22" s="30" customFormat="1" ht="15">
      <c r="B223" s="290" t="s">
        <v>427</v>
      </c>
      <c r="C223" s="252"/>
      <c r="D223" s="621"/>
      <c r="E223" s="621"/>
      <c r="F223" s="249"/>
      <c r="G223" s="250"/>
      <c r="H223" s="486"/>
      <c r="I223" s="486"/>
      <c r="J223" s="291">
        <f>SUM(J224:J225)</f>
        <v>0</v>
      </c>
      <c r="K223" s="291">
        <f t="shared" ref="K223:M223" si="74">SUM(K224:K225)</f>
        <v>2300</v>
      </c>
      <c r="L223" s="291">
        <f t="shared" si="74"/>
        <v>0</v>
      </c>
      <c r="M223" s="291">
        <f t="shared" si="74"/>
        <v>2300</v>
      </c>
      <c r="N223" s="328"/>
      <c r="O223" s="329"/>
      <c r="P223" s="32"/>
      <c r="Q223" s="276">
        <f t="shared" ref="Q223:R223" si="75">SUM(Q224:Q225)</f>
        <v>0</v>
      </c>
      <c r="R223" s="276">
        <f t="shared" si="75"/>
        <v>0</v>
      </c>
      <c r="S223" s="726"/>
      <c r="T223" s="32"/>
      <c r="U223" s="32"/>
      <c r="V223" s="12"/>
    </row>
    <row r="224" spans="2:22" s="113" customFormat="1" ht="75">
      <c r="B224" s="263" t="s">
        <v>428</v>
      </c>
      <c r="C224" s="182" t="s">
        <v>429</v>
      </c>
      <c r="D224" s="419">
        <v>41325</v>
      </c>
      <c r="E224" s="419" t="s">
        <v>4965</v>
      </c>
      <c r="F224" s="72" t="s">
        <v>5668</v>
      </c>
      <c r="G224" s="1103"/>
      <c r="H224" s="243"/>
      <c r="I224" s="243"/>
      <c r="J224" s="184"/>
      <c r="K224" s="186">
        <v>2000</v>
      </c>
      <c r="L224" s="292"/>
      <c r="M224" s="186">
        <f t="shared" ref="M224:M225" si="76">SUM(J224:L224)</f>
        <v>2000</v>
      </c>
      <c r="N224" s="292"/>
      <c r="O224" s="226" t="s">
        <v>110</v>
      </c>
      <c r="P224" s="62" t="s">
        <v>105</v>
      </c>
      <c r="Q224" s="292">
        <v>0</v>
      </c>
      <c r="R224" s="292">
        <v>0</v>
      </c>
      <c r="S224" s="292">
        <v>0</v>
      </c>
      <c r="T224" s="69" t="s">
        <v>153</v>
      </c>
      <c r="U224" s="31" t="s">
        <v>430</v>
      </c>
    </row>
    <row r="225" spans="2:22" s="113" customFormat="1" ht="75">
      <c r="B225" s="263" t="s">
        <v>428</v>
      </c>
      <c r="C225" s="182" t="s">
        <v>431</v>
      </c>
      <c r="D225" s="419">
        <v>41358</v>
      </c>
      <c r="E225" s="419" t="s">
        <v>4965</v>
      </c>
      <c r="F225" s="72" t="s">
        <v>5668</v>
      </c>
      <c r="G225" s="1103"/>
      <c r="H225" s="243"/>
      <c r="I225" s="243"/>
      <c r="J225" s="184"/>
      <c r="K225" s="186">
        <v>300</v>
      </c>
      <c r="L225" s="292"/>
      <c r="M225" s="186">
        <f t="shared" si="76"/>
        <v>300</v>
      </c>
      <c r="N225" s="292"/>
      <c r="O225" s="226" t="s">
        <v>110</v>
      </c>
      <c r="P225" s="62" t="s">
        <v>105</v>
      </c>
      <c r="Q225" s="292">
        <v>0</v>
      </c>
      <c r="R225" s="292">
        <v>0</v>
      </c>
      <c r="S225" s="286">
        <v>16</v>
      </c>
      <c r="T225" s="69" t="s">
        <v>153</v>
      </c>
      <c r="U225" s="31" t="s">
        <v>430</v>
      </c>
    </row>
    <row r="226" spans="2:22" s="30" customFormat="1" ht="15">
      <c r="B226" s="254"/>
      <c r="C226" s="252"/>
      <c r="D226" s="621"/>
      <c r="E226" s="621"/>
      <c r="F226" s="249"/>
      <c r="G226" s="250"/>
      <c r="H226" s="486"/>
      <c r="I226" s="486"/>
      <c r="J226" s="253"/>
      <c r="K226" s="253"/>
      <c r="L226" s="253"/>
      <c r="M226" s="253"/>
      <c r="N226" s="328"/>
      <c r="O226" s="329"/>
      <c r="P226" s="32"/>
      <c r="Q226" s="726"/>
      <c r="R226" s="726"/>
      <c r="S226" s="726"/>
      <c r="T226" s="32"/>
      <c r="U226" s="32"/>
      <c r="V226" s="12"/>
    </row>
    <row r="227" spans="2:22" s="113" customFormat="1" ht="15">
      <c r="B227" s="27" t="s">
        <v>143</v>
      </c>
      <c r="C227" s="1137"/>
      <c r="D227" s="13"/>
      <c r="E227" s="13"/>
      <c r="F227" s="12"/>
      <c r="G227" s="187"/>
      <c r="H227" s="93"/>
      <c r="I227" s="93"/>
      <c r="J227" s="147">
        <f>SUM(J228:J228)</f>
        <v>0</v>
      </c>
      <c r="K227" s="7">
        <f>K228</f>
        <v>5000</v>
      </c>
      <c r="L227" s="7">
        <f>L228</f>
        <v>0</v>
      </c>
      <c r="M227" s="7">
        <f>M228</f>
        <v>5000</v>
      </c>
      <c r="N227" s="6"/>
      <c r="O227" s="117"/>
      <c r="P227" s="32"/>
      <c r="Q227" s="7">
        <f t="shared" ref="Q227:R227" si="77">Q228</f>
        <v>0</v>
      </c>
      <c r="R227" s="7">
        <f t="shared" si="77"/>
        <v>0</v>
      </c>
      <c r="S227" s="6"/>
      <c r="T227" s="32"/>
      <c r="U227" s="31"/>
    </row>
    <row r="228" spans="2:22" s="3" customFormat="1" ht="30">
      <c r="B228" s="1101" t="s">
        <v>432</v>
      </c>
      <c r="C228" s="182" t="s">
        <v>433</v>
      </c>
      <c r="D228" s="419">
        <v>41443</v>
      </c>
      <c r="E228" s="419" t="s">
        <v>4965</v>
      </c>
      <c r="F228" s="72" t="s">
        <v>5754</v>
      </c>
      <c r="G228" s="1103"/>
      <c r="H228" s="243">
        <v>5503180</v>
      </c>
      <c r="I228" s="243"/>
      <c r="J228" s="184"/>
      <c r="K228" s="186">
        <v>5000</v>
      </c>
      <c r="L228" s="292"/>
      <c r="M228" s="186">
        <f>SUM(J228:L228)</f>
        <v>5000</v>
      </c>
      <c r="N228" s="292"/>
      <c r="O228" s="226" t="s">
        <v>110</v>
      </c>
      <c r="P228" s="62" t="s">
        <v>105</v>
      </c>
      <c r="Q228" s="292"/>
      <c r="R228" s="292"/>
      <c r="S228" s="292"/>
      <c r="T228" s="69" t="s">
        <v>153</v>
      </c>
      <c r="U228" s="102" t="s">
        <v>434</v>
      </c>
    </row>
    <row r="229" spans="2:22" s="30" customFormat="1" ht="15">
      <c r="B229" s="254"/>
      <c r="C229" s="252"/>
      <c r="D229" s="621"/>
      <c r="E229" s="621"/>
      <c r="F229" s="249"/>
      <c r="G229" s="250"/>
      <c r="H229" s="486"/>
      <c r="I229" s="486"/>
      <c r="J229" s="253"/>
      <c r="K229" s="253"/>
      <c r="L229" s="253"/>
      <c r="M229" s="253"/>
      <c r="N229" s="328"/>
      <c r="O229" s="329"/>
      <c r="P229" s="32"/>
      <c r="Q229" s="726"/>
      <c r="R229" s="726"/>
      <c r="S229" s="726"/>
      <c r="T229" s="32"/>
      <c r="U229" s="32"/>
      <c r="V229" s="12"/>
    </row>
    <row r="230" spans="2:22" s="30" customFormat="1" ht="15">
      <c r="B230" s="27" t="s">
        <v>435</v>
      </c>
      <c r="C230" s="252"/>
      <c r="D230" s="621"/>
      <c r="E230" s="621"/>
      <c r="F230" s="249"/>
      <c r="G230" s="250"/>
      <c r="H230" s="486"/>
      <c r="I230" s="486"/>
      <c r="J230" s="7">
        <f>SUM(J231:J235)</f>
        <v>0</v>
      </c>
      <c r="K230" s="7">
        <f t="shared" ref="K230:M230" si="78">SUM(K231:K235)</f>
        <v>9100</v>
      </c>
      <c r="L230" s="7">
        <f t="shared" si="78"/>
        <v>0</v>
      </c>
      <c r="M230" s="7">
        <f t="shared" si="78"/>
        <v>9100</v>
      </c>
      <c r="N230" s="328"/>
      <c r="O230" s="329"/>
      <c r="P230" s="32"/>
      <c r="Q230" s="7">
        <f t="shared" ref="Q230:R230" si="79">SUM(Q231:Q235)</f>
        <v>2500</v>
      </c>
      <c r="R230" s="7">
        <f t="shared" si="79"/>
        <v>2500</v>
      </c>
      <c r="S230" s="726"/>
      <c r="T230" s="32"/>
      <c r="U230" s="32"/>
      <c r="V230" s="12"/>
    </row>
    <row r="231" spans="2:22" s="3" customFormat="1" ht="45">
      <c r="B231" s="263" t="s">
        <v>428</v>
      </c>
      <c r="C231" s="182" t="s">
        <v>436</v>
      </c>
      <c r="D231" s="419">
        <v>41325</v>
      </c>
      <c r="E231" s="419" t="s">
        <v>4965</v>
      </c>
      <c r="F231" s="72" t="s">
        <v>5755</v>
      </c>
      <c r="G231" s="1103"/>
      <c r="H231" s="243"/>
      <c r="I231" s="243"/>
      <c r="J231" s="184"/>
      <c r="K231" s="186">
        <v>6000</v>
      </c>
      <c r="L231" s="292"/>
      <c r="M231" s="186">
        <f t="shared" ref="M231:M235" si="80">SUM(J231:L231)</f>
        <v>6000</v>
      </c>
      <c r="N231" s="292"/>
      <c r="O231" s="226" t="s">
        <v>110</v>
      </c>
      <c r="P231" s="62" t="s">
        <v>105</v>
      </c>
      <c r="Q231" s="184"/>
      <c r="R231" s="184"/>
      <c r="S231" s="184" t="s">
        <v>507</v>
      </c>
      <c r="T231" s="69" t="s">
        <v>153</v>
      </c>
      <c r="U231" s="12" t="s">
        <v>437</v>
      </c>
    </row>
    <row r="232" spans="2:22" s="3" customFormat="1" ht="45">
      <c r="B232" s="263" t="s">
        <v>428</v>
      </c>
      <c r="C232" s="182" t="s">
        <v>438</v>
      </c>
      <c r="D232" s="419">
        <v>41334</v>
      </c>
      <c r="E232" s="419" t="s">
        <v>4965</v>
      </c>
      <c r="F232" s="72" t="s">
        <v>5755</v>
      </c>
      <c r="G232" s="1103"/>
      <c r="H232" s="243"/>
      <c r="I232" s="243"/>
      <c r="J232" s="184"/>
      <c r="K232" s="186">
        <v>1500</v>
      </c>
      <c r="L232" s="292"/>
      <c r="M232" s="186">
        <f t="shared" si="80"/>
        <v>1500</v>
      </c>
      <c r="N232" s="292"/>
      <c r="O232" s="226" t="s">
        <v>110</v>
      </c>
      <c r="P232" s="62" t="s">
        <v>105</v>
      </c>
      <c r="Q232" s="184">
        <v>1500</v>
      </c>
      <c r="R232" s="184">
        <v>1500</v>
      </c>
      <c r="S232" s="184">
        <v>25</v>
      </c>
      <c r="T232" s="69" t="s">
        <v>153</v>
      </c>
      <c r="U232" s="12" t="s">
        <v>437</v>
      </c>
    </row>
    <row r="233" spans="2:22" s="3" customFormat="1" ht="45">
      <c r="B233" s="263" t="s">
        <v>428</v>
      </c>
      <c r="C233" s="182" t="s">
        <v>439</v>
      </c>
      <c r="D233" s="419">
        <v>41347</v>
      </c>
      <c r="E233" s="419" t="s">
        <v>4965</v>
      </c>
      <c r="F233" s="72" t="s">
        <v>5755</v>
      </c>
      <c r="G233" s="1103"/>
      <c r="H233" s="243"/>
      <c r="I233" s="243"/>
      <c r="J233" s="184"/>
      <c r="K233" s="186">
        <v>1000</v>
      </c>
      <c r="L233" s="292"/>
      <c r="M233" s="186">
        <f t="shared" si="80"/>
        <v>1000</v>
      </c>
      <c r="N233" s="292"/>
      <c r="O233" s="226" t="s">
        <v>110</v>
      </c>
      <c r="P233" s="62" t="s">
        <v>105</v>
      </c>
      <c r="Q233" s="184">
        <v>1000</v>
      </c>
      <c r="R233" s="184">
        <v>1000</v>
      </c>
      <c r="S233" s="184">
        <v>84</v>
      </c>
      <c r="T233" s="69" t="s">
        <v>153</v>
      </c>
      <c r="U233" s="12" t="s">
        <v>437</v>
      </c>
    </row>
    <row r="234" spans="2:22" s="3" customFormat="1" ht="45">
      <c r="B234" s="263" t="s">
        <v>428</v>
      </c>
      <c r="C234" s="182" t="s">
        <v>440</v>
      </c>
      <c r="D234" s="419">
        <v>41348</v>
      </c>
      <c r="E234" s="419" t="s">
        <v>4965</v>
      </c>
      <c r="F234" s="72" t="s">
        <v>5755</v>
      </c>
      <c r="G234" s="1103"/>
      <c r="H234" s="243"/>
      <c r="I234" s="243"/>
      <c r="J234" s="184"/>
      <c r="K234" s="186">
        <v>400</v>
      </c>
      <c r="L234" s="292"/>
      <c r="M234" s="186">
        <f t="shared" si="80"/>
        <v>400</v>
      </c>
      <c r="N234" s="292"/>
      <c r="O234" s="226" t="s">
        <v>110</v>
      </c>
      <c r="P234" s="62" t="s">
        <v>105</v>
      </c>
      <c r="Q234" s="184"/>
      <c r="R234" s="184"/>
      <c r="S234" s="184" t="s">
        <v>507</v>
      </c>
      <c r="T234" s="69" t="s">
        <v>153</v>
      </c>
      <c r="U234" s="12" t="s">
        <v>437</v>
      </c>
    </row>
    <row r="235" spans="2:22" s="3" customFormat="1" ht="45">
      <c r="B235" s="263" t="s">
        <v>428</v>
      </c>
      <c r="C235" s="182" t="s">
        <v>441</v>
      </c>
      <c r="D235" s="419">
        <v>41355</v>
      </c>
      <c r="E235" s="419" t="s">
        <v>4965</v>
      </c>
      <c r="F235" s="72" t="s">
        <v>5755</v>
      </c>
      <c r="G235" s="1103"/>
      <c r="H235" s="243"/>
      <c r="I235" s="243"/>
      <c r="J235" s="184"/>
      <c r="K235" s="186">
        <v>200</v>
      </c>
      <c r="L235" s="292"/>
      <c r="M235" s="186">
        <f t="shared" si="80"/>
        <v>200</v>
      </c>
      <c r="N235" s="292"/>
      <c r="O235" s="226" t="s">
        <v>110</v>
      </c>
      <c r="P235" s="62" t="s">
        <v>105</v>
      </c>
      <c r="Q235" s="184"/>
      <c r="R235" s="184"/>
      <c r="S235" s="184" t="s">
        <v>507</v>
      </c>
      <c r="T235" s="69" t="s">
        <v>153</v>
      </c>
      <c r="U235" s="12" t="s">
        <v>437</v>
      </c>
    </row>
    <row r="236" spans="2:22" s="30" customFormat="1" ht="15">
      <c r="B236" s="254"/>
      <c r="C236" s="252"/>
      <c r="D236" s="621"/>
      <c r="E236" s="621"/>
      <c r="F236" s="249"/>
      <c r="G236" s="250"/>
      <c r="H236" s="486"/>
      <c r="I236" s="486"/>
      <c r="J236" s="253"/>
      <c r="K236" s="253"/>
      <c r="L236" s="253"/>
      <c r="M236" s="253"/>
      <c r="N236" s="328"/>
      <c r="O236" s="226"/>
      <c r="P236" s="32"/>
      <c r="Q236" s="726"/>
      <c r="R236" s="726"/>
      <c r="S236" s="726"/>
      <c r="T236" s="32"/>
      <c r="U236" s="32"/>
      <c r="V236" s="12"/>
    </row>
    <row r="237" spans="2:22" s="30" customFormat="1" ht="15">
      <c r="B237" s="27" t="s">
        <v>442</v>
      </c>
      <c r="C237" s="252"/>
      <c r="D237" s="621"/>
      <c r="E237" s="621"/>
      <c r="F237" s="249"/>
      <c r="G237" s="250"/>
      <c r="H237" s="486"/>
      <c r="I237" s="486"/>
      <c r="J237" s="276">
        <f>SUM(J238:J241)</f>
        <v>0</v>
      </c>
      <c r="K237" s="276">
        <f t="shared" ref="K237:M237" si="81">SUM(K238:K241)</f>
        <v>5100</v>
      </c>
      <c r="L237" s="276">
        <f t="shared" si="81"/>
        <v>0</v>
      </c>
      <c r="M237" s="276">
        <f t="shared" si="81"/>
        <v>5100</v>
      </c>
      <c r="N237" s="328"/>
      <c r="O237" s="329"/>
      <c r="P237" s="32"/>
      <c r="Q237" s="276">
        <f t="shared" ref="Q237:R237" si="82">SUM(Q238:Q241)</f>
        <v>5100</v>
      </c>
      <c r="R237" s="276">
        <f t="shared" si="82"/>
        <v>695.32</v>
      </c>
      <c r="S237" s="726"/>
      <c r="T237" s="32"/>
      <c r="U237" s="32"/>
      <c r="V237" s="12"/>
    </row>
    <row r="238" spans="2:22" s="3" customFormat="1" ht="33.75" customHeight="1">
      <c r="B238" s="263" t="s">
        <v>428</v>
      </c>
      <c r="C238" s="182" t="s">
        <v>443</v>
      </c>
      <c r="D238" s="419">
        <v>41325</v>
      </c>
      <c r="E238" s="419" t="s">
        <v>4965</v>
      </c>
      <c r="F238" s="72" t="s">
        <v>5683</v>
      </c>
      <c r="G238" s="1103"/>
      <c r="H238" s="243"/>
      <c r="I238" s="243"/>
      <c r="J238" s="184"/>
      <c r="K238" s="186">
        <v>3000</v>
      </c>
      <c r="L238" s="184"/>
      <c r="M238" s="186">
        <f t="shared" ref="M238:M241" si="83">SUM(J238:L238)</f>
        <v>3000</v>
      </c>
      <c r="N238" s="184"/>
      <c r="O238" s="226" t="s">
        <v>110</v>
      </c>
      <c r="P238" s="62" t="s">
        <v>105</v>
      </c>
      <c r="Q238" s="184">
        <v>3000</v>
      </c>
      <c r="R238" s="184"/>
      <c r="S238" s="184" t="s">
        <v>509</v>
      </c>
      <c r="T238" s="69" t="s">
        <v>153</v>
      </c>
      <c r="U238" s="12" t="s">
        <v>444</v>
      </c>
    </row>
    <row r="239" spans="2:22" s="3" customFormat="1" ht="33" customHeight="1">
      <c r="B239" s="263" t="s">
        <v>428</v>
      </c>
      <c r="C239" s="182" t="s">
        <v>445</v>
      </c>
      <c r="D239" s="419">
        <v>41348</v>
      </c>
      <c r="E239" s="419" t="s">
        <v>4965</v>
      </c>
      <c r="F239" s="72" t="s">
        <v>5683</v>
      </c>
      <c r="G239" s="1103"/>
      <c r="H239" s="243"/>
      <c r="I239" s="243"/>
      <c r="J239" s="184"/>
      <c r="K239" s="186">
        <v>400</v>
      </c>
      <c r="L239" s="184"/>
      <c r="M239" s="186">
        <f t="shared" si="83"/>
        <v>400</v>
      </c>
      <c r="N239" s="184"/>
      <c r="O239" s="226" t="s">
        <v>110</v>
      </c>
      <c r="P239" s="62" t="s">
        <v>105</v>
      </c>
      <c r="Q239" s="184">
        <v>400</v>
      </c>
      <c r="R239" s="184"/>
      <c r="S239" s="184" t="s">
        <v>510</v>
      </c>
      <c r="T239" s="69" t="s">
        <v>153</v>
      </c>
      <c r="U239" s="12" t="s">
        <v>444</v>
      </c>
    </row>
    <row r="240" spans="2:22" s="113" customFormat="1" ht="30.75" customHeight="1">
      <c r="B240" s="263" t="s">
        <v>428</v>
      </c>
      <c r="C240" s="182" t="s">
        <v>446</v>
      </c>
      <c r="D240" s="419">
        <v>41355</v>
      </c>
      <c r="E240" s="419" t="s">
        <v>4965</v>
      </c>
      <c r="F240" s="72" t="s">
        <v>5683</v>
      </c>
      <c r="G240" s="1103"/>
      <c r="H240" s="243"/>
      <c r="I240" s="243"/>
      <c r="J240" s="184"/>
      <c r="K240" s="186">
        <v>200</v>
      </c>
      <c r="L240" s="184"/>
      <c r="M240" s="186">
        <f t="shared" si="83"/>
        <v>200</v>
      </c>
      <c r="N240" s="184"/>
      <c r="O240" s="226" t="s">
        <v>110</v>
      </c>
      <c r="P240" s="62" t="s">
        <v>105</v>
      </c>
      <c r="Q240" s="184">
        <v>200</v>
      </c>
      <c r="R240" s="184"/>
      <c r="S240" s="184" t="s">
        <v>511</v>
      </c>
      <c r="T240" s="69" t="s">
        <v>153</v>
      </c>
      <c r="U240" s="12" t="s">
        <v>444</v>
      </c>
    </row>
    <row r="241" spans="1:22" s="113" customFormat="1" ht="30">
      <c r="B241" s="263" t="s">
        <v>428</v>
      </c>
      <c r="C241" s="182" t="s">
        <v>447</v>
      </c>
      <c r="D241" s="419">
        <v>41358</v>
      </c>
      <c r="E241" s="419" t="s">
        <v>4965</v>
      </c>
      <c r="F241" s="72" t="s">
        <v>5683</v>
      </c>
      <c r="G241" s="1103"/>
      <c r="H241" s="243"/>
      <c r="I241" s="243"/>
      <c r="J241" s="184"/>
      <c r="K241" s="186">
        <v>1500</v>
      </c>
      <c r="L241" s="184"/>
      <c r="M241" s="186">
        <f t="shared" si="83"/>
        <v>1500</v>
      </c>
      <c r="N241" s="184"/>
      <c r="O241" s="226" t="s">
        <v>110</v>
      </c>
      <c r="P241" s="62" t="s">
        <v>105</v>
      </c>
      <c r="Q241" s="184">
        <v>1500</v>
      </c>
      <c r="R241" s="986">
        <v>695.32</v>
      </c>
      <c r="S241" s="184" t="s">
        <v>508</v>
      </c>
      <c r="T241" s="69" t="s">
        <v>153</v>
      </c>
      <c r="U241" s="12" t="s">
        <v>444</v>
      </c>
    </row>
    <row r="242" spans="1:22" s="30" customFormat="1" ht="15">
      <c r="B242" s="254"/>
      <c r="C242" s="252"/>
      <c r="D242" s="621"/>
      <c r="E242" s="621"/>
      <c r="F242" s="249"/>
      <c r="G242" s="250"/>
      <c r="H242" s="486"/>
      <c r="I242" s="486"/>
      <c r="J242" s="253"/>
      <c r="K242" s="253"/>
      <c r="L242" s="253"/>
      <c r="M242" s="253"/>
      <c r="N242" s="328"/>
      <c r="O242" s="329"/>
      <c r="P242" s="32"/>
      <c r="Q242" s="726"/>
      <c r="R242" s="726"/>
      <c r="S242" s="726"/>
      <c r="T242" s="32"/>
      <c r="U242" s="32"/>
      <c r="V242" s="12"/>
    </row>
    <row r="243" spans="1:22" s="30" customFormat="1" ht="15">
      <c r="B243" s="27" t="s">
        <v>448</v>
      </c>
      <c r="C243" s="252"/>
      <c r="D243" s="621"/>
      <c r="E243" s="621"/>
      <c r="F243" s="249"/>
      <c r="G243" s="250"/>
      <c r="H243" s="486"/>
      <c r="I243" s="486"/>
      <c r="J243" s="276">
        <f>SUM(J244:J245)</f>
        <v>0</v>
      </c>
      <c r="K243" s="276">
        <f>SUM(K244:K245)</f>
        <v>3940</v>
      </c>
      <c r="L243" s="276">
        <f>SUM(L244:L245)</f>
        <v>0</v>
      </c>
      <c r="M243" s="276">
        <f>SUM(M244:M245)</f>
        <v>3940</v>
      </c>
      <c r="N243" s="328"/>
      <c r="O243" s="329"/>
      <c r="P243" s="32"/>
      <c r="Q243" s="276">
        <f t="shared" ref="Q243:R243" si="84">SUM(Q244:Q245)</f>
        <v>0</v>
      </c>
      <c r="R243" s="276">
        <f t="shared" si="84"/>
        <v>0</v>
      </c>
      <c r="S243" s="726"/>
      <c r="T243" s="32"/>
      <c r="U243" s="32"/>
      <c r="V243" s="12"/>
    </row>
    <row r="244" spans="1:22" s="3" customFormat="1" ht="60">
      <c r="B244" s="1101" t="s">
        <v>449</v>
      </c>
      <c r="C244" s="182" t="s">
        <v>450</v>
      </c>
      <c r="D244" s="419">
        <v>41325</v>
      </c>
      <c r="E244" s="419" t="s">
        <v>4625</v>
      </c>
      <c r="F244" s="72" t="s">
        <v>5685</v>
      </c>
      <c r="G244" s="1103"/>
      <c r="H244" s="243"/>
      <c r="I244" s="243"/>
      <c r="J244" s="184"/>
      <c r="K244" s="186">
        <v>2500</v>
      </c>
      <c r="L244" s="184"/>
      <c r="M244" s="186">
        <f t="shared" ref="M244:M245" si="85">SUM(J244:L244)</f>
        <v>2500</v>
      </c>
      <c r="N244" s="184"/>
      <c r="O244" s="226" t="s">
        <v>110</v>
      </c>
      <c r="P244" s="62" t="s">
        <v>105</v>
      </c>
      <c r="Q244" s="184"/>
      <c r="R244" s="184"/>
      <c r="S244" s="184" t="s">
        <v>507</v>
      </c>
      <c r="T244" s="69" t="s">
        <v>153</v>
      </c>
      <c r="U244" s="12" t="s">
        <v>451</v>
      </c>
    </row>
    <row r="245" spans="1:22" s="3" customFormat="1" ht="60">
      <c r="B245" s="1101" t="s">
        <v>449</v>
      </c>
      <c r="C245" s="182" t="s">
        <v>452</v>
      </c>
      <c r="D245" s="419">
        <v>41332</v>
      </c>
      <c r="E245" s="419" t="s">
        <v>4625</v>
      </c>
      <c r="F245" s="72" t="s">
        <v>5685</v>
      </c>
      <c r="G245" s="1103"/>
      <c r="H245" s="243"/>
      <c r="I245" s="243"/>
      <c r="J245" s="184"/>
      <c r="K245" s="186">
        <v>1440</v>
      </c>
      <c r="L245" s="184"/>
      <c r="M245" s="186">
        <f t="shared" si="85"/>
        <v>1440</v>
      </c>
      <c r="N245" s="184"/>
      <c r="O245" s="226" t="s">
        <v>110</v>
      </c>
      <c r="P245" s="62" t="s">
        <v>105</v>
      </c>
      <c r="Q245" s="184"/>
      <c r="R245" s="184"/>
      <c r="S245" s="184" t="s">
        <v>507</v>
      </c>
      <c r="T245" s="69" t="s">
        <v>153</v>
      </c>
      <c r="U245" s="12" t="s">
        <v>451</v>
      </c>
    </row>
    <row r="246" spans="1:22" s="30" customFormat="1" ht="15">
      <c r="B246" s="254"/>
      <c r="C246" s="252"/>
      <c r="D246" s="621"/>
      <c r="E246" s="621"/>
      <c r="F246" s="249"/>
      <c r="G246" s="250"/>
      <c r="H246" s="486"/>
      <c r="I246" s="486"/>
      <c r="J246" s="253"/>
      <c r="K246" s="253"/>
      <c r="L246" s="253"/>
      <c r="M246" s="253"/>
      <c r="N246" s="328"/>
      <c r="O246" s="329"/>
      <c r="P246" s="32"/>
      <c r="Q246" s="726"/>
      <c r="R246" s="726"/>
      <c r="S246" s="726"/>
      <c r="T246" s="32"/>
      <c r="U246" s="32"/>
      <c r="V246" s="12"/>
    </row>
    <row r="247" spans="1:22" s="30" customFormat="1" ht="15">
      <c r="A247" s="1041" t="s">
        <v>4927</v>
      </c>
      <c r="B247" s="293" t="s">
        <v>454</v>
      </c>
      <c r="C247" s="252"/>
      <c r="D247" s="621"/>
      <c r="E247" s="621"/>
      <c r="F247" s="249"/>
      <c r="G247" s="250"/>
      <c r="H247" s="486"/>
      <c r="I247" s="484">
        <v>500000</v>
      </c>
      <c r="J247" s="294"/>
      <c r="K247" s="294">
        <f t="shared" ref="K247:M248" si="86">K248</f>
        <v>500000</v>
      </c>
      <c r="L247" s="294">
        <f t="shared" si="86"/>
        <v>0</v>
      </c>
      <c r="M247" s="294">
        <f t="shared" si="86"/>
        <v>500000</v>
      </c>
      <c r="N247" s="328"/>
      <c r="O247" s="329"/>
      <c r="P247" s="32"/>
      <c r="Q247" s="294">
        <f t="shared" ref="Q247:R248" si="87">Q248</f>
        <v>500000</v>
      </c>
      <c r="R247" s="294">
        <f t="shared" si="87"/>
        <v>500000</v>
      </c>
      <c r="S247" s="726"/>
      <c r="T247" s="32"/>
      <c r="U247" s="32"/>
      <c r="V247" s="12"/>
    </row>
    <row r="248" spans="1:22" s="3" customFormat="1" ht="15">
      <c r="B248" s="44" t="s">
        <v>453</v>
      </c>
      <c r="C248" s="182"/>
      <c r="D248" s="419"/>
      <c r="E248" s="419"/>
      <c r="F248" s="98"/>
      <c r="G248" s="199"/>
      <c r="H248" s="243">
        <v>250000</v>
      </c>
      <c r="I248" s="243"/>
      <c r="J248" s="294"/>
      <c r="K248" s="294">
        <f t="shared" si="86"/>
        <v>500000</v>
      </c>
      <c r="L248" s="294">
        <f t="shared" si="86"/>
        <v>0</v>
      </c>
      <c r="M248" s="294">
        <f t="shared" si="86"/>
        <v>500000</v>
      </c>
      <c r="N248" s="184">
        <f>M248+H248</f>
        <v>750000</v>
      </c>
      <c r="O248" s="244"/>
      <c r="P248" s="750"/>
      <c r="Q248" s="294">
        <f t="shared" si="87"/>
        <v>500000</v>
      </c>
      <c r="R248" s="294">
        <f t="shared" si="87"/>
        <v>500000</v>
      </c>
      <c r="S248" s="184"/>
      <c r="T248" s="244"/>
      <c r="U248" s="295"/>
    </row>
    <row r="249" spans="1:22" s="3" customFormat="1" ht="45">
      <c r="B249" s="296" t="s">
        <v>454</v>
      </c>
      <c r="C249" s="182" t="s">
        <v>455</v>
      </c>
      <c r="D249" s="419">
        <v>41271</v>
      </c>
      <c r="E249" s="419" t="s">
        <v>622</v>
      </c>
      <c r="F249" s="98" t="s">
        <v>5756</v>
      </c>
      <c r="G249" s="97"/>
      <c r="H249" s="105"/>
      <c r="I249" s="105"/>
      <c r="J249" s="186"/>
      <c r="K249" s="186">
        <v>500000</v>
      </c>
      <c r="L249" s="186"/>
      <c r="M249" s="186">
        <f>SUM(J249:L249)</f>
        <v>500000</v>
      </c>
      <c r="N249" s="186"/>
      <c r="O249" s="226" t="s">
        <v>110</v>
      </c>
      <c r="P249" s="62" t="s">
        <v>105</v>
      </c>
      <c r="Q249" s="184">
        <v>500000</v>
      </c>
      <c r="R249" s="184">
        <v>500000</v>
      </c>
      <c r="S249" s="184" t="s">
        <v>6096</v>
      </c>
      <c r="T249" s="230" t="s">
        <v>153</v>
      </c>
      <c r="U249" s="253" t="s">
        <v>456</v>
      </c>
    </row>
    <row r="250" spans="1:22" s="3" customFormat="1" ht="15">
      <c r="B250" s="296"/>
      <c r="C250" s="182"/>
      <c r="D250" s="419"/>
      <c r="E250" s="419"/>
      <c r="F250" s="98"/>
      <c r="G250" s="97"/>
      <c r="H250" s="105"/>
      <c r="I250" s="105"/>
      <c r="J250" s="186"/>
      <c r="K250" s="186"/>
      <c r="L250" s="186"/>
      <c r="M250" s="186"/>
      <c r="N250" s="186"/>
      <c r="O250" s="230"/>
      <c r="P250" s="751"/>
      <c r="Q250" s="184"/>
      <c r="R250" s="184"/>
      <c r="S250" s="184"/>
      <c r="T250" s="230"/>
      <c r="U250" s="253"/>
    </row>
    <row r="251" spans="1:22" s="30" customFormat="1" ht="15">
      <c r="A251" s="1041" t="s">
        <v>4929</v>
      </c>
      <c r="B251" s="293" t="s">
        <v>4928</v>
      </c>
      <c r="C251" s="252"/>
      <c r="D251" s="621"/>
      <c r="E251" s="621"/>
      <c r="F251" s="249"/>
      <c r="G251" s="250"/>
      <c r="H251" s="486"/>
      <c r="I251" s="484">
        <v>207040</v>
      </c>
      <c r="J251" s="294"/>
      <c r="K251" s="294">
        <f>K252</f>
        <v>0</v>
      </c>
      <c r="L251" s="294">
        <f>L252</f>
        <v>206896.43199999997</v>
      </c>
      <c r="M251" s="294">
        <f>M252</f>
        <v>206896.43199999997</v>
      </c>
      <c r="N251" s="328"/>
      <c r="O251" s="329"/>
      <c r="P251" s="32"/>
      <c r="Q251" s="294">
        <f t="shared" ref="Q251:R251" si="88">Q252</f>
        <v>35300</v>
      </c>
      <c r="R251" s="294">
        <f t="shared" si="88"/>
        <v>14993</v>
      </c>
      <c r="S251" s="726"/>
      <c r="T251" s="32"/>
      <c r="U251" s="32"/>
      <c r="V251" s="12"/>
    </row>
    <row r="252" spans="1:22" s="16" customFormat="1" ht="15">
      <c r="B252" s="27" t="s">
        <v>457</v>
      </c>
      <c r="C252" s="232"/>
      <c r="D252" s="684"/>
      <c r="E252" s="684"/>
      <c r="F252" s="181"/>
      <c r="G252" s="228"/>
      <c r="H252" s="6"/>
      <c r="I252" s="6"/>
      <c r="J252" s="7">
        <f>SUM(J253:J260)</f>
        <v>0</v>
      </c>
      <c r="K252" s="7">
        <f>SUM(K253:K260)</f>
        <v>0</v>
      </c>
      <c r="L252" s="7">
        <f>SUM(L253:L260)</f>
        <v>206896.43199999997</v>
      </c>
      <c r="M252" s="7">
        <f>SUM(M253:M260)</f>
        <v>206896.43199999997</v>
      </c>
      <c r="N252" s="6"/>
      <c r="O252" s="117"/>
      <c r="P252" s="179"/>
      <c r="Q252" s="7">
        <f t="shared" ref="Q252:R252" si="89">SUM(Q253:Q260)</f>
        <v>35300</v>
      </c>
      <c r="R252" s="7">
        <f t="shared" si="89"/>
        <v>14993</v>
      </c>
      <c r="S252" s="6"/>
      <c r="T252" s="179"/>
    </row>
    <row r="253" spans="1:22" s="16" customFormat="1" ht="48" customHeight="1">
      <c r="B253" s="297" t="s">
        <v>304</v>
      </c>
      <c r="C253" s="153" t="s">
        <v>458</v>
      </c>
      <c r="D253" s="683">
        <v>41299</v>
      </c>
      <c r="E253" s="683" t="s">
        <v>5758</v>
      </c>
      <c r="F253" s="98" t="s">
        <v>5757</v>
      </c>
      <c r="G253" s="298"/>
      <c r="H253" s="105">
        <v>9006</v>
      </c>
      <c r="I253" s="105"/>
      <c r="J253" s="6"/>
      <c r="K253" s="186"/>
      <c r="L253" s="186">
        <v>35300</v>
      </c>
      <c r="M253" s="186">
        <f>SUM(K253:L253)</f>
        <v>35300</v>
      </c>
      <c r="N253" s="186">
        <f>M253+H253</f>
        <v>44306</v>
      </c>
      <c r="O253" s="226" t="s">
        <v>110</v>
      </c>
      <c r="P253" s="62" t="s">
        <v>105</v>
      </c>
      <c r="Q253" s="184">
        <v>35300</v>
      </c>
      <c r="R253" s="184">
        <v>14993</v>
      </c>
      <c r="S253" s="184" t="s">
        <v>6228</v>
      </c>
      <c r="T253" s="1137" t="s">
        <v>153</v>
      </c>
      <c r="U253" s="14" t="s">
        <v>459</v>
      </c>
    </row>
    <row r="254" spans="1:22" s="16" customFormat="1" ht="49.5" customHeight="1">
      <c r="B254" s="297" t="s">
        <v>460</v>
      </c>
      <c r="C254" s="153" t="s">
        <v>461</v>
      </c>
      <c r="D254" s="683">
        <v>41299</v>
      </c>
      <c r="E254" s="683" t="s">
        <v>5762</v>
      </c>
      <c r="F254" s="98" t="s">
        <v>5759</v>
      </c>
      <c r="G254" s="298"/>
      <c r="H254" s="105">
        <v>10409</v>
      </c>
      <c r="I254" s="105"/>
      <c r="J254" s="6"/>
      <c r="K254" s="186"/>
      <c r="L254" s="186">
        <v>1572</v>
      </c>
      <c r="M254" s="186">
        <f t="shared" ref="M254:M260" si="90">SUM(K254:L254)</f>
        <v>1572</v>
      </c>
      <c r="N254" s="186">
        <f t="shared" ref="N254:N260" si="91">M254+H254</f>
        <v>11981</v>
      </c>
      <c r="O254" s="226" t="s">
        <v>110</v>
      </c>
      <c r="P254" s="62" t="s">
        <v>105</v>
      </c>
      <c r="Q254" s="184"/>
      <c r="R254" s="184"/>
      <c r="S254" s="184"/>
      <c r="T254" s="1137" t="s">
        <v>153</v>
      </c>
      <c r="U254" s="14" t="s">
        <v>459</v>
      </c>
    </row>
    <row r="255" spans="1:22" s="16" customFormat="1" ht="51" customHeight="1">
      <c r="B255" s="297" t="s">
        <v>462</v>
      </c>
      <c r="C255" s="153" t="s">
        <v>463</v>
      </c>
      <c r="D255" s="683">
        <v>41299</v>
      </c>
      <c r="E255" s="683" t="s">
        <v>5761</v>
      </c>
      <c r="F255" s="98" t="s">
        <v>5760</v>
      </c>
      <c r="G255" s="298"/>
      <c r="H255" s="105">
        <v>9219</v>
      </c>
      <c r="I255" s="105"/>
      <c r="J255" s="6"/>
      <c r="K255" s="186"/>
      <c r="L255" s="186">
        <v>1289.7460000000001</v>
      </c>
      <c r="M255" s="186">
        <f t="shared" si="90"/>
        <v>1289.7460000000001</v>
      </c>
      <c r="N255" s="186">
        <f t="shared" si="91"/>
        <v>10508.745999999999</v>
      </c>
      <c r="O255" s="226" t="s">
        <v>110</v>
      </c>
      <c r="P255" s="62" t="s">
        <v>105</v>
      </c>
      <c r="Q255" s="184"/>
      <c r="R255" s="184"/>
      <c r="S255" s="184"/>
      <c r="T255" s="1137" t="s">
        <v>153</v>
      </c>
      <c r="U255" s="14" t="s">
        <v>459</v>
      </c>
    </row>
    <row r="256" spans="1:22" s="16" customFormat="1" ht="55.5" customHeight="1">
      <c r="B256" s="297" t="s">
        <v>464</v>
      </c>
      <c r="C256" s="153" t="s">
        <v>465</v>
      </c>
      <c r="D256" s="683">
        <v>41299</v>
      </c>
      <c r="E256" s="683" t="s">
        <v>5764</v>
      </c>
      <c r="F256" s="98" t="s">
        <v>5763</v>
      </c>
      <c r="G256" s="298"/>
      <c r="H256" s="105">
        <v>11030</v>
      </c>
      <c r="I256" s="105"/>
      <c r="J256" s="6"/>
      <c r="K256" s="186"/>
      <c r="L256" s="186">
        <v>48000</v>
      </c>
      <c r="M256" s="186">
        <f t="shared" si="90"/>
        <v>48000</v>
      </c>
      <c r="N256" s="186">
        <f t="shared" si="91"/>
        <v>59030</v>
      </c>
      <c r="O256" s="226" t="s">
        <v>110</v>
      </c>
      <c r="P256" s="62" t="s">
        <v>105</v>
      </c>
      <c r="Q256" s="184"/>
      <c r="R256" s="184"/>
      <c r="S256" s="184"/>
      <c r="T256" s="1137" t="s">
        <v>153</v>
      </c>
      <c r="U256" s="14" t="s">
        <v>459</v>
      </c>
    </row>
    <row r="257" spans="1:266" s="16" customFormat="1" ht="55.5" customHeight="1">
      <c r="B257" s="297" t="s">
        <v>466</v>
      </c>
      <c r="C257" s="153" t="s">
        <v>467</v>
      </c>
      <c r="D257" s="683">
        <v>41299</v>
      </c>
      <c r="E257" s="683" t="s">
        <v>5766</v>
      </c>
      <c r="F257" s="98" t="s">
        <v>5765</v>
      </c>
      <c r="G257" s="298"/>
      <c r="H257" s="105">
        <v>11060</v>
      </c>
      <c r="I257" s="105"/>
      <c r="J257" s="6"/>
      <c r="K257" s="186"/>
      <c r="L257" s="186">
        <v>50000</v>
      </c>
      <c r="M257" s="186">
        <f t="shared" si="90"/>
        <v>50000</v>
      </c>
      <c r="N257" s="186">
        <f t="shared" si="91"/>
        <v>61060</v>
      </c>
      <c r="O257" s="226" t="s">
        <v>110</v>
      </c>
      <c r="P257" s="62" t="s">
        <v>105</v>
      </c>
      <c r="Q257" s="184"/>
      <c r="R257" s="184"/>
      <c r="S257" s="184"/>
      <c r="T257" s="1137" t="s">
        <v>153</v>
      </c>
      <c r="U257" s="14" t="s">
        <v>459</v>
      </c>
    </row>
    <row r="258" spans="1:266" s="16" customFormat="1" ht="54.75" customHeight="1">
      <c r="B258" s="297" t="s">
        <v>468</v>
      </c>
      <c r="C258" s="153" t="s">
        <v>469</v>
      </c>
      <c r="D258" s="683">
        <v>41299</v>
      </c>
      <c r="E258" s="683" t="s">
        <v>5768</v>
      </c>
      <c r="F258" s="98" t="s">
        <v>5767</v>
      </c>
      <c r="G258" s="298"/>
      <c r="H258" s="105">
        <v>9216</v>
      </c>
      <c r="I258" s="105"/>
      <c r="J258" s="6"/>
      <c r="K258" s="186"/>
      <c r="L258" s="186">
        <v>434.68599999999998</v>
      </c>
      <c r="M258" s="186">
        <f t="shared" si="90"/>
        <v>434.68599999999998</v>
      </c>
      <c r="N258" s="186">
        <f t="shared" si="91"/>
        <v>9650.6859999999997</v>
      </c>
      <c r="O258" s="226" t="s">
        <v>110</v>
      </c>
      <c r="P258" s="62" t="s">
        <v>105</v>
      </c>
      <c r="Q258" s="184"/>
      <c r="R258" s="184"/>
      <c r="S258" s="184"/>
      <c r="T258" s="1137" t="s">
        <v>153</v>
      </c>
      <c r="U258" s="14" t="s">
        <v>459</v>
      </c>
    </row>
    <row r="259" spans="1:266" s="16" customFormat="1" ht="43.5" customHeight="1">
      <c r="B259" s="297" t="s">
        <v>470</v>
      </c>
      <c r="C259" s="153" t="s">
        <v>471</v>
      </c>
      <c r="D259" s="683">
        <v>41299</v>
      </c>
      <c r="E259" s="683" t="s">
        <v>5770</v>
      </c>
      <c r="F259" s="98" t="s">
        <v>5769</v>
      </c>
      <c r="G259" s="298"/>
      <c r="H259" s="105">
        <v>8020</v>
      </c>
      <c r="I259" s="105"/>
      <c r="J259" s="6"/>
      <c r="K259" s="186"/>
      <c r="L259" s="186">
        <v>50000</v>
      </c>
      <c r="M259" s="186">
        <f t="shared" si="90"/>
        <v>50000</v>
      </c>
      <c r="N259" s="186">
        <f t="shared" si="91"/>
        <v>58020</v>
      </c>
      <c r="O259" s="226" t="s">
        <v>110</v>
      </c>
      <c r="P259" s="62" t="s">
        <v>105</v>
      </c>
      <c r="Q259" s="184"/>
      <c r="R259" s="184"/>
      <c r="S259" s="184"/>
      <c r="T259" s="1137" t="s">
        <v>153</v>
      </c>
      <c r="U259" s="14" t="s">
        <v>459</v>
      </c>
    </row>
    <row r="260" spans="1:266" s="16" customFormat="1" ht="43.5" customHeight="1">
      <c r="B260" s="297" t="s">
        <v>10</v>
      </c>
      <c r="C260" s="153" t="s">
        <v>472</v>
      </c>
      <c r="D260" s="683">
        <v>41500</v>
      </c>
      <c r="E260" s="683" t="s">
        <v>5772</v>
      </c>
      <c r="F260" s="98" t="s">
        <v>5771</v>
      </c>
      <c r="G260" s="298"/>
      <c r="H260" s="105">
        <v>75715</v>
      </c>
      <c r="I260" s="105"/>
      <c r="J260" s="6"/>
      <c r="K260" s="186"/>
      <c r="L260" s="186">
        <v>20300</v>
      </c>
      <c r="M260" s="186">
        <f t="shared" si="90"/>
        <v>20300</v>
      </c>
      <c r="N260" s="186">
        <f t="shared" si="91"/>
        <v>96015</v>
      </c>
      <c r="O260" s="226" t="s">
        <v>110</v>
      </c>
      <c r="P260" s="62" t="s">
        <v>105</v>
      </c>
      <c r="Q260" s="184"/>
      <c r="R260" s="184"/>
      <c r="S260" s="184"/>
      <c r="T260" s="1137" t="s">
        <v>153</v>
      </c>
      <c r="U260" s="14" t="s">
        <v>473</v>
      </c>
    </row>
    <row r="261" spans="1:266" s="40" customFormat="1" ht="18" customHeight="1">
      <c r="B261" s="228"/>
      <c r="C261" s="23"/>
      <c r="D261" s="380"/>
      <c r="E261" s="380"/>
      <c r="F261" s="22"/>
      <c r="G261" s="22"/>
      <c r="H261" s="768"/>
      <c r="I261" s="768"/>
      <c r="J261" s="22"/>
      <c r="K261" s="22"/>
      <c r="L261" s="22"/>
      <c r="M261" s="22"/>
      <c r="N261" s="21"/>
      <c r="O261" s="58"/>
      <c r="P261" s="165"/>
      <c r="Q261" s="35"/>
      <c r="R261" s="35"/>
      <c r="S261" s="35"/>
      <c r="T261" s="23"/>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c r="BR261" s="39"/>
      <c r="BS261" s="39"/>
      <c r="BT261" s="39"/>
      <c r="BU261" s="39"/>
      <c r="BV261" s="39"/>
      <c r="BW261" s="39"/>
      <c r="BX261" s="39"/>
      <c r="BY261" s="39"/>
      <c r="BZ261" s="39"/>
      <c r="CA261" s="39"/>
      <c r="CB261" s="39"/>
      <c r="CC261" s="39"/>
      <c r="CD261" s="39"/>
      <c r="CE261" s="39"/>
      <c r="CF261" s="39"/>
      <c r="CG261" s="39"/>
      <c r="CH261" s="39"/>
      <c r="CI261" s="39"/>
      <c r="CJ261" s="39"/>
      <c r="CK261" s="39"/>
      <c r="CL261" s="39"/>
      <c r="CM261" s="39"/>
      <c r="CN261" s="39"/>
      <c r="CO261" s="39"/>
      <c r="CP261" s="39"/>
      <c r="CQ261" s="39"/>
      <c r="CR261" s="39"/>
      <c r="CS261" s="39"/>
      <c r="CT261" s="39"/>
      <c r="CU261" s="39"/>
      <c r="CV261" s="39"/>
      <c r="CW261" s="39"/>
      <c r="CX261" s="39"/>
      <c r="CY261" s="39"/>
      <c r="CZ261" s="39"/>
      <c r="DA261" s="39"/>
      <c r="DB261" s="39"/>
      <c r="DC261" s="39"/>
      <c r="DD261" s="39"/>
      <c r="DE261" s="39"/>
      <c r="DF261" s="39"/>
      <c r="DG261" s="39"/>
      <c r="DH261" s="39"/>
      <c r="DI261" s="39"/>
      <c r="DJ261" s="39"/>
      <c r="DK261" s="39"/>
      <c r="DL261" s="39"/>
      <c r="DM261" s="39"/>
      <c r="DN261" s="39"/>
      <c r="DO261" s="39"/>
      <c r="DP261" s="39"/>
      <c r="DQ261" s="39"/>
      <c r="DR261" s="39"/>
      <c r="DS261" s="39"/>
      <c r="DT261" s="39"/>
      <c r="DU261" s="39"/>
      <c r="DV261" s="39"/>
      <c r="DW261" s="39"/>
      <c r="DX261" s="39"/>
      <c r="DY261" s="39"/>
      <c r="DZ261" s="39"/>
      <c r="EA261" s="39"/>
      <c r="EB261" s="39"/>
      <c r="EC261" s="39"/>
      <c r="ED261" s="39"/>
      <c r="EE261" s="39"/>
      <c r="EF261" s="39"/>
      <c r="EG261" s="39"/>
      <c r="EH261" s="39"/>
      <c r="EI261" s="39"/>
      <c r="EJ261" s="39"/>
      <c r="EK261" s="39"/>
      <c r="EL261" s="39"/>
      <c r="EM261" s="39"/>
      <c r="EN261" s="39"/>
      <c r="EO261" s="39"/>
      <c r="EP261" s="39"/>
      <c r="EQ261" s="39"/>
      <c r="ER261" s="39"/>
      <c r="ES261" s="39"/>
      <c r="ET261" s="39"/>
      <c r="EU261" s="39"/>
      <c r="EV261" s="39"/>
      <c r="EW261" s="39"/>
      <c r="EX261" s="39"/>
      <c r="EY261" s="39"/>
      <c r="EZ261" s="39"/>
      <c r="FA261" s="39"/>
      <c r="FB261" s="39"/>
      <c r="FC261" s="39"/>
      <c r="FD261" s="39"/>
      <c r="FE261" s="39"/>
      <c r="FF261" s="39"/>
      <c r="FG261" s="39"/>
      <c r="FH261" s="39"/>
      <c r="FI261" s="39"/>
      <c r="FJ261" s="39"/>
      <c r="FK261" s="39"/>
      <c r="FL261" s="39"/>
      <c r="FM261" s="39"/>
      <c r="FN261" s="39"/>
      <c r="FO261" s="39"/>
      <c r="FP261" s="39"/>
      <c r="FQ261" s="39"/>
      <c r="FR261" s="39"/>
      <c r="FS261" s="39"/>
      <c r="FT261" s="39"/>
      <c r="FU261" s="39"/>
      <c r="FV261" s="39"/>
      <c r="FW261" s="39"/>
      <c r="FX261" s="39"/>
      <c r="FY261" s="39"/>
      <c r="FZ261" s="39"/>
      <c r="GA261" s="39"/>
      <c r="GB261" s="39"/>
      <c r="GC261" s="39"/>
      <c r="GD261" s="39"/>
      <c r="GE261" s="39"/>
      <c r="GF261" s="39"/>
      <c r="GG261" s="39"/>
      <c r="GH261" s="39"/>
      <c r="GI261" s="39"/>
      <c r="GJ261" s="39"/>
      <c r="GK261" s="39"/>
      <c r="GL261" s="39"/>
      <c r="GM261" s="39"/>
      <c r="GN261" s="39"/>
      <c r="GO261" s="39"/>
      <c r="GP261" s="39"/>
      <c r="GQ261" s="39"/>
      <c r="GR261" s="39"/>
      <c r="GS261" s="39"/>
      <c r="GT261" s="39"/>
      <c r="GU261" s="39"/>
      <c r="GV261" s="39"/>
      <c r="GW261" s="39"/>
      <c r="GX261" s="39"/>
      <c r="GY261" s="39"/>
      <c r="GZ261" s="39"/>
      <c r="HA261" s="39"/>
      <c r="HB261" s="39"/>
      <c r="HC261" s="39"/>
      <c r="HD261" s="39"/>
      <c r="HE261" s="39"/>
      <c r="HF261" s="39"/>
      <c r="HG261" s="39"/>
      <c r="HH261" s="39"/>
      <c r="HI261" s="39"/>
      <c r="HJ261" s="39"/>
      <c r="HK261" s="39"/>
      <c r="HL261" s="39"/>
      <c r="HM261" s="39"/>
      <c r="HN261" s="39"/>
      <c r="HO261" s="39"/>
      <c r="HP261" s="39"/>
      <c r="HQ261" s="39"/>
      <c r="HR261" s="39"/>
      <c r="HS261" s="39"/>
      <c r="HT261" s="39"/>
      <c r="HU261" s="39"/>
      <c r="HV261" s="39"/>
      <c r="HW261" s="39"/>
      <c r="HX261" s="39"/>
      <c r="HY261" s="39"/>
      <c r="HZ261" s="39"/>
      <c r="IA261" s="39"/>
      <c r="IB261" s="39"/>
      <c r="IC261" s="39"/>
      <c r="ID261" s="39"/>
      <c r="IE261" s="39"/>
      <c r="IF261" s="39"/>
      <c r="IG261" s="39"/>
      <c r="IH261" s="39"/>
      <c r="II261" s="39"/>
      <c r="IJ261" s="39"/>
      <c r="IK261" s="39"/>
      <c r="IL261" s="39"/>
      <c r="IM261" s="39"/>
      <c r="IN261" s="39"/>
      <c r="IO261" s="39"/>
      <c r="IP261" s="39"/>
      <c r="IQ261" s="39"/>
      <c r="IR261" s="39"/>
      <c r="IS261" s="39"/>
      <c r="IT261" s="39"/>
      <c r="IU261" s="39"/>
      <c r="IV261" s="39"/>
      <c r="IW261" s="39"/>
      <c r="IX261" s="39"/>
      <c r="IY261" s="39"/>
      <c r="IZ261" s="39"/>
      <c r="JA261" s="39"/>
      <c r="JB261" s="39"/>
      <c r="JC261" s="39"/>
      <c r="JD261" s="39"/>
      <c r="JE261" s="39"/>
      <c r="JF261" s="39"/>
    </row>
    <row r="262" spans="1:266" s="40" customFormat="1" ht="15">
      <c r="A262" s="1041" t="s">
        <v>4930</v>
      </c>
      <c r="B262" s="307" t="s">
        <v>474</v>
      </c>
      <c r="C262" s="23"/>
      <c r="D262" s="380"/>
      <c r="E262" s="380"/>
      <c r="F262" s="22"/>
      <c r="G262" s="22"/>
      <c r="H262" s="768"/>
      <c r="I262" s="299">
        <v>307500</v>
      </c>
      <c r="J262" s="300">
        <f>J263</f>
        <v>0</v>
      </c>
      <c r="K262" s="300">
        <f t="shared" ref="K262:M262" si="92">K263</f>
        <v>287600</v>
      </c>
      <c r="L262" s="300">
        <f t="shared" si="92"/>
        <v>19900</v>
      </c>
      <c r="M262" s="300">
        <f t="shared" si="92"/>
        <v>307500</v>
      </c>
      <c r="N262" s="21"/>
      <c r="O262" s="58"/>
      <c r="P262" s="165"/>
      <c r="Q262" s="300">
        <f t="shared" ref="Q262:R262" si="93">Q263</f>
        <v>301783</v>
      </c>
      <c r="R262" s="300">
        <f t="shared" si="93"/>
        <v>25124.823</v>
      </c>
      <c r="S262" s="35"/>
      <c r="T262" s="23"/>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c r="BR262" s="39"/>
      <c r="BS262" s="39"/>
      <c r="BT262" s="39"/>
      <c r="BU262" s="39"/>
      <c r="BV262" s="39"/>
      <c r="BW262" s="39"/>
      <c r="BX262" s="39"/>
      <c r="BY262" s="39"/>
      <c r="BZ262" s="39"/>
      <c r="CA262" s="39"/>
      <c r="CB262" s="39"/>
      <c r="CC262" s="39"/>
      <c r="CD262" s="39"/>
      <c r="CE262" s="39"/>
      <c r="CF262" s="39"/>
      <c r="CG262" s="39"/>
      <c r="CH262" s="39"/>
      <c r="CI262" s="39"/>
      <c r="CJ262" s="39"/>
      <c r="CK262" s="39"/>
      <c r="CL262" s="39"/>
      <c r="CM262" s="39"/>
      <c r="CN262" s="39"/>
      <c r="CO262" s="39"/>
      <c r="CP262" s="39"/>
      <c r="CQ262" s="39"/>
      <c r="CR262" s="39"/>
      <c r="CS262" s="39"/>
      <c r="CT262" s="39"/>
      <c r="CU262" s="39"/>
      <c r="CV262" s="39"/>
      <c r="CW262" s="39"/>
      <c r="CX262" s="39"/>
      <c r="CY262" s="39"/>
      <c r="CZ262" s="39"/>
      <c r="DA262" s="39"/>
      <c r="DB262" s="39"/>
      <c r="DC262" s="39"/>
      <c r="DD262" s="39"/>
      <c r="DE262" s="39"/>
      <c r="DF262" s="39"/>
      <c r="DG262" s="39"/>
      <c r="DH262" s="39"/>
      <c r="DI262" s="39"/>
      <c r="DJ262" s="39"/>
      <c r="DK262" s="39"/>
      <c r="DL262" s="39"/>
      <c r="DM262" s="39"/>
      <c r="DN262" s="39"/>
      <c r="DO262" s="39"/>
      <c r="DP262" s="39"/>
      <c r="DQ262" s="39"/>
      <c r="DR262" s="39"/>
      <c r="DS262" s="39"/>
      <c r="DT262" s="39"/>
      <c r="DU262" s="39"/>
      <c r="DV262" s="39"/>
      <c r="DW262" s="39"/>
      <c r="DX262" s="39"/>
      <c r="DY262" s="39"/>
      <c r="DZ262" s="39"/>
      <c r="EA262" s="39"/>
      <c r="EB262" s="39"/>
      <c r="EC262" s="39"/>
      <c r="ED262" s="39"/>
      <c r="EE262" s="39"/>
      <c r="EF262" s="39"/>
      <c r="EG262" s="39"/>
      <c r="EH262" s="39"/>
      <c r="EI262" s="39"/>
      <c r="EJ262" s="39"/>
      <c r="EK262" s="39"/>
      <c r="EL262" s="39"/>
      <c r="EM262" s="39"/>
      <c r="EN262" s="39"/>
      <c r="EO262" s="39"/>
      <c r="EP262" s="39"/>
      <c r="EQ262" s="39"/>
      <c r="ER262" s="39"/>
      <c r="ES262" s="39"/>
      <c r="ET262" s="39"/>
      <c r="EU262" s="39"/>
      <c r="EV262" s="39"/>
      <c r="EW262" s="39"/>
      <c r="EX262" s="39"/>
      <c r="EY262" s="39"/>
      <c r="EZ262" s="39"/>
      <c r="FA262" s="39"/>
      <c r="FB262" s="39"/>
      <c r="FC262" s="39"/>
      <c r="FD262" s="39"/>
      <c r="FE262" s="39"/>
      <c r="FF262" s="39"/>
      <c r="FG262" s="39"/>
      <c r="FH262" s="39"/>
      <c r="FI262" s="39"/>
      <c r="FJ262" s="39"/>
      <c r="FK262" s="39"/>
      <c r="FL262" s="39"/>
      <c r="FM262" s="39"/>
      <c r="FN262" s="39"/>
      <c r="FO262" s="39"/>
      <c r="FP262" s="39"/>
      <c r="FQ262" s="39"/>
      <c r="FR262" s="39"/>
      <c r="FS262" s="39"/>
      <c r="FT262" s="39"/>
      <c r="FU262" s="39"/>
      <c r="FV262" s="39"/>
      <c r="FW262" s="39"/>
      <c r="FX262" s="39"/>
      <c r="FY262" s="39"/>
      <c r="FZ262" s="39"/>
      <c r="GA262" s="39"/>
      <c r="GB262" s="39"/>
      <c r="GC262" s="39"/>
      <c r="GD262" s="39"/>
      <c r="GE262" s="39"/>
      <c r="GF262" s="39"/>
      <c r="GG262" s="39"/>
      <c r="GH262" s="39"/>
      <c r="GI262" s="39"/>
      <c r="GJ262" s="39"/>
      <c r="GK262" s="39"/>
      <c r="GL262" s="39"/>
      <c r="GM262" s="39"/>
      <c r="GN262" s="39"/>
      <c r="GO262" s="39"/>
      <c r="GP262" s="39"/>
      <c r="GQ262" s="39"/>
      <c r="GR262" s="39"/>
      <c r="GS262" s="39"/>
      <c r="GT262" s="39"/>
      <c r="GU262" s="39"/>
      <c r="GV262" s="39"/>
      <c r="GW262" s="39"/>
      <c r="GX262" s="39"/>
      <c r="GY262" s="39"/>
      <c r="GZ262" s="39"/>
      <c r="HA262" s="39"/>
      <c r="HB262" s="39"/>
      <c r="HC262" s="39"/>
      <c r="HD262" s="39"/>
      <c r="HE262" s="39"/>
      <c r="HF262" s="39"/>
      <c r="HG262" s="39"/>
      <c r="HH262" s="39"/>
      <c r="HI262" s="39"/>
      <c r="HJ262" s="39"/>
      <c r="HK262" s="39"/>
      <c r="HL262" s="39"/>
      <c r="HM262" s="39"/>
      <c r="HN262" s="39"/>
      <c r="HO262" s="39"/>
      <c r="HP262" s="39"/>
      <c r="HQ262" s="39"/>
      <c r="HR262" s="39"/>
      <c r="HS262" s="39"/>
      <c r="HT262" s="39"/>
      <c r="HU262" s="39"/>
      <c r="HV262" s="39"/>
      <c r="HW262" s="39"/>
      <c r="HX262" s="39"/>
      <c r="HY262" s="39"/>
      <c r="HZ262" s="39"/>
      <c r="IA262" s="39"/>
      <c r="IB262" s="39"/>
      <c r="IC262" s="39"/>
      <c r="ID262" s="39"/>
      <c r="IE262" s="39"/>
      <c r="IF262" s="39"/>
      <c r="IG262" s="39"/>
      <c r="IH262" s="39"/>
      <c r="II262" s="39"/>
      <c r="IJ262" s="39"/>
      <c r="IK262" s="39"/>
      <c r="IL262" s="39"/>
      <c r="IM262" s="39"/>
      <c r="IN262" s="39"/>
      <c r="IO262" s="39"/>
      <c r="IP262" s="39"/>
      <c r="IQ262" s="39"/>
      <c r="IR262" s="39"/>
      <c r="IS262" s="39"/>
      <c r="IT262" s="39"/>
      <c r="IU262" s="39"/>
      <c r="IV262" s="39"/>
      <c r="IW262" s="39"/>
      <c r="IX262" s="39"/>
      <c r="IY262" s="39"/>
      <c r="IZ262" s="39"/>
      <c r="JA262" s="39"/>
      <c r="JB262" s="39"/>
      <c r="JC262" s="39"/>
      <c r="JD262" s="39"/>
      <c r="JE262" s="39"/>
      <c r="JF262" s="39"/>
    </row>
    <row r="263" spans="1:266" ht="15.95" customHeight="1">
      <c r="B263" s="27" t="s">
        <v>161</v>
      </c>
      <c r="C263" s="195" t="s">
        <v>162</v>
      </c>
      <c r="D263" s="557">
        <v>41271</v>
      </c>
      <c r="F263" s="301"/>
      <c r="G263" s="302"/>
      <c r="J263" s="304">
        <f>SUM(J264:J266)</f>
        <v>0</v>
      </c>
      <c r="K263" s="304">
        <f t="shared" ref="K263:M263" si="94">SUM(K264:K266)</f>
        <v>287600</v>
      </c>
      <c r="L263" s="304">
        <f t="shared" si="94"/>
        <v>19900</v>
      </c>
      <c r="M263" s="304">
        <f t="shared" si="94"/>
        <v>307500</v>
      </c>
      <c r="P263" s="1042"/>
      <c r="Q263" s="304">
        <f t="shared" ref="Q263:R263" si="95">SUM(Q264:Q266)</f>
        <v>301783</v>
      </c>
      <c r="R263" s="304">
        <f t="shared" si="95"/>
        <v>25124.823</v>
      </c>
    </row>
    <row r="264" spans="1:266" s="81" customFormat="1" ht="75" customHeight="1">
      <c r="B264" s="1275" t="s">
        <v>474</v>
      </c>
      <c r="C264" s="182"/>
      <c r="D264" s="419"/>
      <c r="E264" s="419" t="s">
        <v>4963</v>
      </c>
      <c r="F264" s="98" t="s">
        <v>5773</v>
      </c>
      <c r="G264" s="305"/>
      <c r="H264" s="186">
        <v>4891582</v>
      </c>
      <c r="I264" s="186"/>
      <c r="J264" s="79"/>
      <c r="K264" s="202">
        <v>152348</v>
      </c>
      <c r="L264" s="306">
        <v>19900</v>
      </c>
      <c r="M264" s="14">
        <f>SUM(K264:L264)</f>
        <v>172248</v>
      </c>
      <c r="N264" s="10">
        <f t="shared" ref="N264:N266" si="96">M264+H264</f>
        <v>5063830</v>
      </c>
      <c r="O264" s="226" t="s">
        <v>110</v>
      </c>
      <c r="P264" s="62" t="s">
        <v>105</v>
      </c>
      <c r="Q264" s="6">
        <v>169476</v>
      </c>
      <c r="R264" s="6">
        <v>5175.3980000000001</v>
      </c>
      <c r="S264" s="1274" t="s">
        <v>6230</v>
      </c>
      <c r="T264" s="62" t="s">
        <v>153</v>
      </c>
      <c r="U264" s="14" t="s">
        <v>475</v>
      </c>
    </row>
    <row r="265" spans="1:266" s="81" customFormat="1" ht="69" customHeight="1">
      <c r="B265" s="1275"/>
      <c r="C265" s="308"/>
      <c r="D265" s="539"/>
      <c r="E265" s="683" t="s">
        <v>4973</v>
      </c>
      <c r="F265" s="98" t="s">
        <v>4972</v>
      </c>
      <c r="G265" s="305"/>
      <c r="H265" s="85">
        <v>861003</v>
      </c>
      <c r="I265" s="85"/>
      <c r="J265" s="79"/>
      <c r="K265" s="15">
        <v>84706</v>
      </c>
      <c r="L265" s="15"/>
      <c r="M265" s="14">
        <f t="shared" ref="M265:M266" si="97">SUM(K265:L265)</f>
        <v>84706</v>
      </c>
      <c r="N265" s="10">
        <f t="shared" si="96"/>
        <v>945709</v>
      </c>
      <c r="O265" s="226" t="s">
        <v>110</v>
      </c>
      <c r="P265" s="62" t="s">
        <v>105</v>
      </c>
      <c r="Q265" s="6">
        <v>81761</v>
      </c>
      <c r="R265" s="6">
        <v>2500</v>
      </c>
      <c r="S265" s="1274"/>
      <c r="T265" s="62" t="s">
        <v>153</v>
      </c>
      <c r="U265" s="14" t="s">
        <v>475</v>
      </c>
    </row>
    <row r="266" spans="1:266" s="81" customFormat="1" ht="30">
      <c r="B266" s="1275"/>
      <c r="C266" s="152"/>
      <c r="D266" s="681"/>
      <c r="E266" s="84" t="s">
        <v>5725</v>
      </c>
      <c r="F266" s="98" t="s">
        <v>5774</v>
      </c>
      <c r="G266" s="298"/>
      <c r="H266" s="74">
        <v>241713</v>
      </c>
      <c r="I266" s="74"/>
      <c r="J266" s="79"/>
      <c r="K266" s="74">
        <v>50546</v>
      </c>
      <c r="L266" s="74"/>
      <c r="M266" s="14">
        <f t="shared" si="97"/>
        <v>50546</v>
      </c>
      <c r="N266" s="10">
        <f t="shared" si="96"/>
        <v>292259</v>
      </c>
      <c r="O266" s="226" t="s">
        <v>110</v>
      </c>
      <c r="P266" s="62" t="s">
        <v>105</v>
      </c>
      <c r="Q266" s="6">
        <v>50546</v>
      </c>
      <c r="R266" s="6">
        <v>17449.424999999999</v>
      </c>
      <c r="S266" s="6" t="s">
        <v>6147</v>
      </c>
      <c r="T266" s="62" t="s">
        <v>153</v>
      </c>
      <c r="U266" s="14" t="s">
        <v>475</v>
      </c>
    </row>
    <row r="267" spans="1:266" ht="15.95" customHeight="1">
      <c r="P267" s="1042"/>
    </row>
    <row r="268" spans="1:266" ht="15.95" customHeight="1">
      <c r="A268" s="1041" t="s">
        <v>4932</v>
      </c>
      <c r="B268" s="309" t="s">
        <v>4931</v>
      </c>
      <c r="I268" s="310">
        <v>745456</v>
      </c>
      <c r="J268" s="300">
        <f>J269+J272+J278</f>
        <v>0</v>
      </c>
      <c r="K268" s="300">
        <f t="shared" ref="K268:M268" si="98">K269+K272+K278</f>
        <v>248253</v>
      </c>
      <c r="L268" s="300">
        <f t="shared" si="98"/>
        <v>408446.77500000002</v>
      </c>
      <c r="M268" s="300">
        <f t="shared" si="98"/>
        <v>656699.77500000002</v>
      </c>
      <c r="P268" s="1042"/>
      <c r="Q268" s="300">
        <f t="shared" ref="Q268:R268" si="99">Q269+Q272+Q278</f>
        <v>276443</v>
      </c>
      <c r="R268" s="1047">
        <f t="shared" si="99"/>
        <v>61976</v>
      </c>
    </row>
    <row r="269" spans="1:266" s="16" customFormat="1" ht="15">
      <c r="B269" s="54" t="s">
        <v>476</v>
      </c>
      <c r="C269" s="1137"/>
      <c r="D269" s="26"/>
      <c r="E269" s="26"/>
      <c r="F269" s="12"/>
      <c r="G269" s="14"/>
      <c r="H269" s="14"/>
      <c r="I269" s="14"/>
      <c r="J269" s="311">
        <f t="shared" ref="J269:M269" si="100">J270+J271</f>
        <v>0</v>
      </c>
      <c r="K269" s="311">
        <f t="shared" si="100"/>
        <v>248253</v>
      </c>
      <c r="L269" s="311">
        <f t="shared" si="100"/>
        <v>0</v>
      </c>
      <c r="M269" s="311">
        <f t="shared" si="100"/>
        <v>248253</v>
      </c>
      <c r="N269" s="10"/>
      <c r="O269" s="1136"/>
      <c r="P269" s="1137"/>
      <c r="Q269" s="234">
        <f t="shared" ref="Q269:R269" si="101">Q270+Q271</f>
        <v>0</v>
      </c>
      <c r="R269" s="234">
        <f t="shared" si="101"/>
        <v>0</v>
      </c>
      <c r="S269" s="6"/>
      <c r="T269" s="1137"/>
      <c r="U269" s="14"/>
    </row>
    <row r="270" spans="1:266" s="16" customFormat="1" ht="75">
      <c r="B270" s="296" t="s">
        <v>477</v>
      </c>
      <c r="C270" s="153" t="s">
        <v>478</v>
      </c>
      <c r="D270" s="683">
        <v>41319</v>
      </c>
      <c r="E270" s="683" t="s">
        <v>4960</v>
      </c>
      <c r="F270" s="98" t="s">
        <v>6560</v>
      </c>
      <c r="G270" s="192"/>
      <c r="H270" s="14">
        <v>240296</v>
      </c>
      <c r="I270" s="14"/>
      <c r="J270" s="14"/>
      <c r="K270" s="186">
        <v>248253</v>
      </c>
      <c r="L270" s="238"/>
      <c r="M270" s="14">
        <f>SUM(K270:L270)</f>
        <v>248253</v>
      </c>
      <c r="N270" s="186">
        <f>M270+H270</f>
        <v>488549</v>
      </c>
      <c r="O270" s="226" t="s">
        <v>110</v>
      </c>
      <c r="P270" s="62" t="s">
        <v>105</v>
      </c>
      <c r="Q270" s="184"/>
      <c r="R270" s="184"/>
      <c r="S270" s="184"/>
      <c r="T270" s="1137" t="s">
        <v>153</v>
      </c>
      <c r="U270" s="14" t="s">
        <v>479</v>
      </c>
    </row>
    <row r="271" spans="1:266" ht="15.95" customHeight="1">
      <c r="P271" s="1042"/>
    </row>
    <row r="272" spans="1:266" s="30" customFormat="1" ht="15.75" customHeight="1">
      <c r="B272" s="312" t="s">
        <v>31</v>
      </c>
      <c r="C272" s="43"/>
      <c r="D272" s="718"/>
      <c r="E272" s="1032"/>
      <c r="H272" s="233"/>
      <c r="I272" s="233"/>
      <c r="J272" s="311">
        <f t="shared" ref="J272:M272" si="102">J273+J274</f>
        <v>0</v>
      </c>
      <c r="K272" s="311"/>
      <c r="L272" s="311">
        <f t="shared" si="102"/>
        <v>108446.77499999999</v>
      </c>
      <c r="M272" s="311">
        <f t="shared" si="102"/>
        <v>108446.77499999999</v>
      </c>
      <c r="N272" s="233"/>
      <c r="O272" s="226" t="s">
        <v>110</v>
      </c>
      <c r="P272" s="62" t="s">
        <v>105</v>
      </c>
      <c r="Q272" s="234">
        <f t="shared" ref="Q272:R272" si="103">Q273+Q274</f>
        <v>103553</v>
      </c>
      <c r="R272" s="234">
        <f t="shared" si="103"/>
        <v>14355</v>
      </c>
      <c r="S272" s="238"/>
      <c r="T272" s="43"/>
    </row>
    <row r="273" spans="1:25" s="30" customFormat="1" ht="60">
      <c r="B273" s="227" t="s">
        <v>480</v>
      </c>
      <c r="C273" s="153" t="s">
        <v>481</v>
      </c>
      <c r="D273" s="683">
        <v>41359</v>
      </c>
      <c r="E273" s="683" t="s">
        <v>4980</v>
      </c>
      <c r="F273" s="98" t="s">
        <v>5716</v>
      </c>
      <c r="G273" s="185"/>
      <c r="H273" s="186">
        <v>5000940</v>
      </c>
      <c r="I273" s="186"/>
      <c r="J273" s="184"/>
      <c r="K273" s="186"/>
      <c r="L273" s="186">
        <v>83446.774999999994</v>
      </c>
      <c r="M273" s="186">
        <f>SUM(J273:L273)</f>
        <v>83446.774999999994</v>
      </c>
      <c r="N273" s="186">
        <f>H273+M273</f>
        <v>5084386.7750000004</v>
      </c>
      <c r="O273" s="226" t="s">
        <v>110</v>
      </c>
      <c r="P273" s="62" t="s">
        <v>105</v>
      </c>
      <c r="Q273" s="184">
        <v>78553</v>
      </c>
      <c r="R273" s="184">
        <v>13682</v>
      </c>
      <c r="S273" s="184" t="s">
        <v>6168</v>
      </c>
      <c r="T273" s="32"/>
      <c r="U273" s="31" t="s">
        <v>482</v>
      </c>
    </row>
    <row r="274" spans="1:25" s="30" customFormat="1" ht="45">
      <c r="B274" s="227" t="s">
        <v>483</v>
      </c>
      <c r="C274" s="308" t="s">
        <v>484</v>
      </c>
      <c r="D274" s="539">
        <v>41404</v>
      </c>
      <c r="E274" s="539"/>
      <c r="F274" s="112"/>
      <c r="G274" s="313"/>
      <c r="H274" s="233"/>
      <c r="I274" s="233"/>
      <c r="J274" s="234"/>
      <c r="K274" s="311"/>
      <c r="L274" s="311">
        <f t="shared" ref="L274:M274" si="104">SUM(L275:L276)</f>
        <v>25000</v>
      </c>
      <c r="M274" s="311">
        <f t="shared" si="104"/>
        <v>25000</v>
      </c>
      <c r="N274" s="233"/>
      <c r="O274" s="226"/>
      <c r="P274" s="62"/>
      <c r="Q274" s="234">
        <f t="shared" ref="Q274" si="105">SUM(Q275:Q276)</f>
        <v>25000</v>
      </c>
      <c r="R274" s="234">
        <v>673</v>
      </c>
      <c r="S274" s="238"/>
      <c r="T274" s="43"/>
      <c r="U274" s="112" t="s">
        <v>485</v>
      </c>
    </row>
    <row r="275" spans="1:25" s="30" customFormat="1" ht="81" customHeight="1">
      <c r="B275" s="227"/>
      <c r="C275" s="153"/>
      <c r="D275" s="683"/>
      <c r="E275" s="683" t="s">
        <v>5776</v>
      </c>
      <c r="F275" s="98" t="s">
        <v>5775</v>
      </c>
      <c r="G275" s="185"/>
      <c r="H275" s="186">
        <v>42428</v>
      </c>
      <c r="I275" s="186"/>
      <c r="J275" s="184"/>
      <c r="K275" s="186"/>
      <c r="L275" s="186">
        <v>20000</v>
      </c>
      <c r="M275" s="186">
        <f t="shared" ref="M275:M276" si="106">SUM(J275:L275)</f>
        <v>20000</v>
      </c>
      <c r="N275" s="186">
        <f>H275+M275</f>
        <v>62428</v>
      </c>
      <c r="O275" s="226" t="s">
        <v>110</v>
      </c>
      <c r="P275" s="62" t="s">
        <v>105</v>
      </c>
      <c r="Q275" s="184">
        <v>20000</v>
      </c>
      <c r="R275" s="184"/>
      <c r="S275" s="184" t="s">
        <v>6169</v>
      </c>
      <c r="T275" s="43"/>
      <c r="U275" s="62"/>
      <c r="V275" s="31"/>
    </row>
    <row r="276" spans="1:25" s="30" customFormat="1" ht="60">
      <c r="B276" s="227"/>
      <c r="C276" s="153"/>
      <c r="D276" s="683"/>
      <c r="E276" s="1144" t="s">
        <v>6564</v>
      </c>
      <c r="F276" s="98" t="s">
        <v>5716</v>
      </c>
      <c r="G276" s="185"/>
      <c r="H276" s="186">
        <v>5000940</v>
      </c>
      <c r="I276" s="186"/>
      <c r="J276" s="184"/>
      <c r="K276" s="186"/>
      <c r="L276" s="186">
        <v>5000</v>
      </c>
      <c r="M276" s="186">
        <f t="shared" si="106"/>
        <v>5000</v>
      </c>
      <c r="N276" s="186">
        <f>H276+M276</f>
        <v>5005940</v>
      </c>
      <c r="O276" s="226" t="s">
        <v>110</v>
      </c>
      <c r="P276" s="62" t="s">
        <v>105</v>
      </c>
      <c r="Q276" s="184">
        <v>5000</v>
      </c>
      <c r="R276" s="184"/>
      <c r="S276" s="184" t="s">
        <v>6170</v>
      </c>
      <c r="T276" s="43"/>
      <c r="U276" s="62"/>
      <c r="V276" s="31"/>
    </row>
    <row r="277" spans="1:25" ht="15.95" customHeight="1">
      <c r="P277" s="1042"/>
    </row>
    <row r="278" spans="1:25" s="81" customFormat="1" ht="15">
      <c r="B278" s="312" t="s">
        <v>65</v>
      </c>
      <c r="C278" s="62"/>
      <c r="D278" s="84"/>
      <c r="E278" s="84"/>
      <c r="F278" s="83"/>
      <c r="G278" s="83"/>
      <c r="H278" s="85"/>
      <c r="I278" s="85"/>
      <c r="J278" s="200">
        <f t="shared" ref="J278:K278" si="107">SUM(J279)</f>
        <v>0</v>
      </c>
      <c r="K278" s="200">
        <f t="shared" si="107"/>
        <v>0</v>
      </c>
      <c r="L278" s="200">
        <f>SUM(L279)</f>
        <v>300000</v>
      </c>
      <c r="M278" s="200">
        <f>SUM(M279)</f>
        <v>300000</v>
      </c>
      <c r="N278" s="15"/>
      <c r="O278" s="62"/>
      <c r="P278" s="152"/>
      <c r="Q278" s="200">
        <f t="shared" ref="Q278:R278" si="108">SUM(Q279)</f>
        <v>172890</v>
      </c>
      <c r="R278" s="7">
        <f t="shared" si="108"/>
        <v>47621</v>
      </c>
      <c r="S278" s="187"/>
      <c r="T278" s="62"/>
    </row>
    <row r="279" spans="1:25" s="81" customFormat="1" ht="45">
      <c r="B279" s="91" t="s">
        <v>486</v>
      </c>
      <c r="C279" s="69" t="s">
        <v>487</v>
      </c>
      <c r="D279" s="13">
        <v>41456</v>
      </c>
      <c r="E279" s="26" t="s">
        <v>5002</v>
      </c>
      <c r="F279" s="18" t="s">
        <v>486</v>
      </c>
      <c r="G279" s="18"/>
      <c r="H279" s="67"/>
      <c r="I279" s="67"/>
      <c r="J279" s="13"/>
      <c r="K279" s="13"/>
      <c r="L279" s="67">
        <v>300000</v>
      </c>
      <c r="M279" s="67">
        <f>SUM(J279:L279)</f>
        <v>300000</v>
      </c>
      <c r="N279" s="62"/>
      <c r="O279" s="226" t="s">
        <v>110</v>
      </c>
      <c r="P279" s="62" t="s">
        <v>105</v>
      </c>
      <c r="Q279" s="591">
        <v>172890</v>
      </c>
      <c r="R279" s="1140">
        <v>47621</v>
      </c>
      <c r="S279" s="880" t="s">
        <v>4546</v>
      </c>
      <c r="T279" s="152"/>
      <c r="U279" s="15" t="s">
        <v>237</v>
      </c>
    </row>
    <row r="280" spans="1:25" ht="15.95" customHeight="1">
      <c r="P280" s="1042"/>
    </row>
    <row r="281" spans="1:25" ht="15.95" customHeight="1">
      <c r="A281" s="1041" t="s">
        <v>4934</v>
      </c>
      <c r="B281" s="309" t="s">
        <v>4933</v>
      </c>
      <c r="I281" s="310">
        <v>20000000</v>
      </c>
      <c r="J281" s="145">
        <f>J282+J284</f>
        <v>0</v>
      </c>
      <c r="K281" s="145">
        <f t="shared" ref="K281:M281" si="109">K282+K284</f>
        <v>0</v>
      </c>
      <c r="L281" s="145">
        <f t="shared" si="109"/>
        <v>20000000</v>
      </c>
      <c r="M281" s="145">
        <f t="shared" si="109"/>
        <v>20000000</v>
      </c>
      <c r="P281" s="1042"/>
      <c r="Q281" s="145">
        <f t="shared" ref="Q281:R281" si="110">Q282+Q284</f>
        <v>20000000</v>
      </c>
      <c r="R281" s="145">
        <f t="shared" si="110"/>
        <v>20000000</v>
      </c>
    </row>
    <row r="282" spans="1:25" s="45" customFormat="1" ht="15">
      <c r="B282" s="119" t="s">
        <v>488</v>
      </c>
      <c r="C282" s="165"/>
      <c r="D282" s="350"/>
      <c r="E282" s="455"/>
      <c r="F282" s="41"/>
      <c r="G282" s="41"/>
      <c r="H282" s="315">
        <v>13606</v>
      </c>
      <c r="I282" s="315"/>
      <c r="J282" s="314">
        <f>J283</f>
        <v>0</v>
      </c>
      <c r="K282" s="314">
        <f t="shared" ref="K282:M282" si="111">K283</f>
        <v>0</v>
      </c>
      <c r="L282" s="314">
        <f t="shared" si="111"/>
        <v>17476515</v>
      </c>
      <c r="M282" s="314">
        <f t="shared" si="111"/>
        <v>17476515</v>
      </c>
      <c r="N282" s="316">
        <f>M282+H282</f>
        <v>17490121</v>
      </c>
      <c r="O282" s="317"/>
      <c r="P282" s="165"/>
      <c r="Q282" s="314">
        <f t="shared" ref="Q282:R282" si="112">Q283</f>
        <v>17476515</v>
      </c>
      <c r="R282" s="314">
        <f t="shared" si="112"/>
        <v>17476515</v>
      </c>
      <c r="S282" s="316"/>
      <c r="T282" s="165"/>
      <c r="U282" s="41"/>
    </row>
    <row r="283" spans="1:25" s="64" customFormat="1" ht="135">
      <c r="B283" s="215" t="s">
        <v>105</v>
      </c>
      <c r="C283" s="182" t="s">
        <v>489</v>
      </c>
      <c r="D283" s="419">
        <v>41271</v>
      </c>
      <c r="E283" s="419" t="s">
        <v>4618</v>
      </c>
      <c r="F283" s="212" t="s">
        <v>5777</v>
      </c>
      <c r="G283" s="319"/>
      <c r="H283" s="191"/>
      <c r="I283" s="191"/>
      <c r="J283" s="204"/>
      <c r="K283" s="204"/>
      <c r="L283" s="320">
        <v>17476515</v>
      </c>
      <c r="M283" s="201">
        <f>SUM(J283:L283)</f>
        <v>17476515</v>
      </c>
      <c r="N283" s="203"/>
      <c r="O283" s="226" t="s">
        <v>110</v>
      </c>
      <c r="P283" s="62" t="s">
        <v>105</v>
      </c>
      <c r="Q283" s="201">
        <v>17476515</v>
      </c>
      <c r="R283" s="201">
        <v>17476515</v>
      </c>
      <c r="S283" s="432" t="s">
        <v>6077</v>
      </c>
      <c r="T283" s="321" t="s">
        <v>153</v>
      </c>
      <c r="U283" s="31" t="s">
        <v>490</v>
      </c>
      <c r="V283" s="322"/>
      <c r="W283" s="322"/>
      <c r="X283" s="233"/>
      <c r="Y283" s="323"/>
    </row>
    <row r="284" spans="1:25" s="45" customFormat="1" ht="19.5" customHeight="1">
      <c r="B284" s="41"/>
      <c r="C284" s="165"/>
      <c r="D284" s="350"/>
      <c r="E284" s="455"/>
      <c r="F284" s="41"/>
      <c r="G284" s="41"/>
      <c r="H284" s="90"/>
      <c r="I284" s="90"/>
      <c r="J284" s="314">
        <f t="shared" ref="J284:K284" si="113">SUM(J285)</f>
        <v>0</v>
      </c>
      <c r="K284" s="314">
        <f t="shared" si="113"/>
        <v>0</v>
      </c>
      <c r="L284" s="314">
        <f>SUM(L285)</f>
        <v>2523485</v>
      </c>
      <c r="M284" s="314">
        <f>SUM(M285)</f>
        <v>2523485</v>
      </c>
      <c r="N284" s="42"/>
      <c r="O284" s="164"/>
      <c r="P284" s="165"/>
      <c r="Q284" s="314">
        <f t="shared" ref="Q284:R284" si="114">SUM(Q285)</f>
        <v>2523485</v>
      </c>
      <c r="R284" s="314">
        <f t="shared" si="114"/>
        <v>2523485</v>
      </c>
      <c r="S284" s="353"/>
      <c r="T284" s="165"/>
      <c r="U284" s="41"/>
    </row>
    <row r="285" spans="1:25" s="64" customFormat="1" ht="135">
      <c r="B285" s="215" t="s">
        <v>103</v>
      </c>
      <c r="C285" s="182" t="s">
        <v>491</v>
      </c>
      <c r="D285" s="419">
        <v>41271</v>
      </c>
      <c r="E285" s="419" t="s">
        <v>5686</v>
      </c>
      <c r="F285" s="212" t="s">
        <v>5777</v>
      </c>
      <c r="G285" s="319"/>
      <c r="H285" s="324"/>
      <c r="I285" s="324"/>
      <c r="J285" s="204"/>
      <c r="K285" s="204"/>
      <c r="L285" s="325">
        <v>2523485</v>
      </c>
      <c r="M285" s="201">
        <f>SUM(J285:L285)</f>
        <v>2523485</v>
      </c>
      <c r="N285" s="326"/>
      <c r="O285" s="226" t="s">
        <v>110</v>
      </c>
      <c r="P285" s="62" t="s">
        <v>103</v>
      </c>
      <c r="Q285" s="987">
        <v>2523485</v>
      </c>
      <c r="R285" s="987">
        <v>2523485</v>
      </c>
      <c r="S285" s="432" t="s">
        <v>6077</v>
      </c>
      <c r="T285" s="321" t="s">
        <v>153</v>
      </c>
      <c r="U285" s="31" t="s">
        <v>76</v>
      </c>
      <c r="V285" s="322"/>
      <c r="W285" s="322"/>
      <c r="X285" s="233"/>
      <c r="Y285" s="323"/>
    </row>
    <row r="286" spans="1:25" s="3" customFormat="1" ht="15">
      <c r="B286" s="30"/>
      <c r="C286" s="32"/>
      <c r="D286" s="671"/>
      <c r="E286" s="879"/>
      <c r="F286" s="31"/>
      <c r="G286" s="31"/>
      <c r="H286" s="327"/>
      <c r="I286" s="327"/>
      <c r="J286" s="31"/>
      <c r="K286" s="31"/>
      <c r="L286" s="31"/>
      <c r="M286" s="31"/>
      <c r="N286" s="328"/>
      <c r="O286" s="329"/>
      <c r="P286" s="32"/>
      <c r="Q286" s="726"/>
      <c r="R286" s="726"/>
      <c r="S286" s="726"/>
      <c r="T286" s="32"/>
      <c r="U286" s="31"/>
    </row>
    <row r="287" spans="1:25" ht="15.95" customHeight="1">
      <c r="A287" s="1041" t="s">
        <v>4936</v>
      </c>
      <c r="B287" s="764" t="s">
        <v>4935</v>
      </c>
      <c r="I287" s="310">
        <v>50000</v>
      </c>
      <c r="J287" s="314">
        <f>J288</f>
        <v>0</v>
      </c>
      <c r="K287" s="314">
        <f t="shared" ref="K287:M287" si="115">K288</f>
        <v>50000</v>
      </c>
      <c r="L287" s="314">
        <f t="shared" si="115"/>
        <v>0</v>
      </c>
      <c r="M287" s="314">
        <f t="shared" si="115"/>
        <v>50000</v>
      </c>
      <c r="P287" s="1042"/>
      <c r="Q287" s="314">
        <f t="shared" ref="Q287:R287" si="116">Q288</f>
        <v>47930</v>
      </c>
      <c r="R287" s="314">
        <f t="shared" si="116"/>
        <v>0</v>
      </c>
    </row>
    <row r="288" spans="1:25" ht="15.95" customHeight="1">
      <c r="B288" s="104" t="s">
        <v>289</v>
      </c>
      <c r="J288" s="314">
        <f t="shared" ref="J288" si="117">SUM(J289)</f>
        <v>0</v>
      </c>
      <c r="K288" s="314">
        <f t="shared" ref="K288" si="118">SUM(K289)</f>
        <v>50000</v>
      </c>
      <c r="L288" s="314">
        <f>SUM(L289)</f>
        <v>0</v>
      </c>
      <c r="M288" s="314">
        <f>SUM(M289)</f>
        <v>50000</v>
      </c>
      <c r="P288" s="1042"/>
      <c r="Q288" s="314">
        <f t="shared" ref="Q288:R288" si="119">SUM(Q289)</f>
        <v>47930</v>
      </c>
      <c r="R288" s="314">
        <f t="shared" si="119"/>
        <v>0</v>
      </c>
    </row>
    <row r="289" spans="1:21" s="81" customFormat="1" ht="105">
      <c r="B289" s="277" t="s">
        <v>492</v>
      </c>
      <c r="C289" s="1137" t="s">
        <v>493</v>
      </c>
      <c r="D289" s="419">
        <v>41498</v>
      </c>
      <c r="E289" s="419" t="s">
        <v>3044</v>
      </c>
      <c r="F289" s="83" t="s">
        <v>5778</v>
      </c>
      <c r="G289" s="83"/>
      <c r="H289" s="274">
        <v>19959</v>
      </c>
      <c r="I289" s="274"/>
      <c r="J289" s="15"/>
      <c r="K289" s="85">
        <v>50000</v>
      </c>
      <c r="L289" s="85"/>
      <c r="M289" s="85">
        <f>SUM(J289:L289)</f>
        <v>50000</v>
      </c>
      <c r="N289" s="274">
        <f>M289+H289</f>
        <v>69959</v>
      </c>
      <c r="O289" s="226" t="s">
        <v>110</v>
      </c>
      <c r="P289" s="62" t="s">
        <v>105</v>
      </c>
      <c r="Q289" s="279">
        <v>47930</v>
      </c>
      <c r="R289" s="1122" t="s">
        <v>6337</v>
      </c>
      <c r="S289" s="1122" t="s">
        <v>6338</v>
      </c>
      <c r="T289" s="321" t="s">
        <v>153</v>
      </c>
      <c r="U289" s="15" t="s">
        <v>494</v>
      </c>
    </row>
    <row r="290" spans="1:21" s="81" customFormat="1" ht="15">
      <c r="B290" s="277"/>
      <c r="C290" s="1137"/>
      <c r="D290" s="13"/>
      <c r="E290" s="13"/>
      <c r="F290" s="83"/>
      <c r="G290" s="83"/>
      <c r="H290" s="274"/>
      <c r="I290" s="274"/>
      <c r="J290" s="15"/>
      <c r="K290" s="85"/>
      <c r="L290" s="85"/>
      <c r="M290" s="85"/>
      <c r="N290" s="274"/>
      <c r="O290" s="330"/>
      <c r="P290" s="62"/>
      <c r="Q290" s="274"/>
      <c r="R290" s="6"/>
      <c r="S290" s="6"/>
      <c r="T290" s="275"/>
      <c r="U290" s="15"/>
    </row>
    <row r="291" spans="1:21" s="39" customFormat="1" ht="15">
      <c r="A291" s="1041" t="s">
        <v>4938</v>
      </c>
      <c r="B291" s="38" t="s">
        <v>4937</v>
      </c>
      <c r="C291" s="23"/>
      <c r="D291" s="380"/>
      <c r="E291" s="380"/>
      <c r="F291" s="22"/>
      <c r="G291" s="22"/>
      <c r="H291" s="210"/>
      <c r="I291" s="438">
        <v>4077000</v>
      </c>
      <c r="J291" s="314">
        <f t="shared" ref="J291:K292" si="120">SUM(J292)</f>
        <v>0</v>
      </c>
      <c r="K291" s="314">
        <f t="shared" si="120"/>
        <v>0</v>
      </c>
      <c r="L291" s="314">
        <f>SUM(L292)</f>
        <v>4070722</v>
      </c>
      <c r="M291" s="314">
        <f>SUM(M292)</f>
        <v>4070722</v>
      </c>
      <c r="N291" s="22"/>
      <c r="O291" s="23"/>
      <c r="P291" s="165"/>
      <c r="Q291" s="314">
        <f t="shared" ref="Q291:R292" si="121">SUM(Q292)</f>
        <v>0</v>
      </c>
      <c r="R291" s="314">
        <f t="shared" si="121"/>
        <v>0</v>
      </c>
      <c r="S291" s="38"/>
      <c r="T291" s="23"/>
    </row>
    <row r="292" spans="1:21" s="39" customFormat="1" ht="15.95" customHeight="1">
      <c r="B292" s="38" t="s">
        <v>105</v>
      </c>
      <c r="C292" s="23"/>
      <c r="D292" s="380"/>
      <c r="E292" s="380"/>
      <c r="F292" s="22"/>
      <c r="G292" s="22"/>
      <c r="H292" s="210"/>
      <c r="I292" s="210"/>
      <c r="J292" s="314">
        <f t="shared" si="120"/>
        <v>0</v>
      </c>
      <c r="K292" s="314">
        <f t="shared" si="120"/>
        <v>0</v>
      </c>
      <c r="L292" s="314">
        <f>SUM(L293)</f>
        <v>4070722</v>
      </c>
      <c r="M292" s="314">
        <f>SUM(M293)</f>
        <v>4070722</v>
      </c>
      <c r="N292" s="22"/>
      <c r="O292" s="23"/>
      <c r="P292" s="165"/>
      <c r="Q292" s="314">
        <f t="shared" si="121"/>
        <v>0</v>
      </c>
      <c r="R292" s="314">
        <f t="shared" si="121"/>
        <v>0</v>
      </c>
      <c r="S292" s="38"/>
      <c r="T292" s="23"/>
    </row>
    <row r="293" spans="1:21" s="30" customFormat="1" ht="30">
      <c r="B293" s="309" t="s">
        <v>137</v>
      </c>
      <c r="C293" s="153" t="s">
        <v>495</v>
      </c>
      <c r="D293" s="419">
        <v>41262</v>
      </c>
      <c r="E293" s="419" t="s">
        <v>5780</v>
      </c>
      <c r="F293" s="98" t="s">
        <v>5779</v>
      </c>
      <c r="G293" s="240"/>
      <c r="H293" s="333"/>
      <c r="I293" s="333"/>
      <c r="J293" s="202"/>
      <c r="K293" s="202"/>
      <c r="L293" s="306">
        <v>4070722</v>
      </c>
      <c r="M293" s="186">
        <f>SUM(K293:L293)</f>
        <v>4070722</v>
      </c>
      <c r="N293" s="229"/>
      <c r="O293" s="334" t="s">
        <v>135</v>
      </c>
      <c r="P293" s="1137" t="s">
        <v>105</v>
      </c>
      <c r="Q293" s="229"/>
      <c r="R293" s="229"/>
      <c r="S293" s="229"/>
      <c r="T293" s="321" t="s">
        <v>153</v>
      </c>
      <c r="U293" s="12" t="s">
        <v>496</v>
      </c>
    </row>
    <row r="294" spans="1:21" ht="15.95" customHeight="1">
      <c r="P294" s="1042"/>
    </row>
    <row r="295" spans="1:21" ht="15.95" customHeight="1">
      <c r="A295" s="1041" t="s">
        <v>4940</v>
      </c>
      <c r="B295" s="331" t="s">
        <v>4939</v>
      </c>
      <c r="I295" s="310">
        <v>121000</v>
      </c>
      <c r="J295" s="314">
        <f t="shared" ref="J295:J296" si="122">SUM(J296)</f>
        <v>0</v>
      </c>
      <c r="K295" s="314">
        <f t="shared" ref="K295:K296" si="123">SUM(K296)</f>
        <v>121000</v>
      </c>
      <c r="L295" s="314">
        <f>SUM(L296)</f>
        <v>0</v>
      </c>
      <c r="M295" s="314">
        <f>SUM(M296)</f>
        <v>121000</v>
      </c>
      <c r="P295" s="1042"/>
      <c r="Q295" s="314">
        <f t="shared" ref="Q295:R296" si="124">SUM(Q296)</f>
        <v>121000</v>
      </c>
      <c r="R295" s="314">
        <f t="shared" si="124"/>
        <v>33945</v>
      </c>
    </row>
    <row r="296" spans="1:21" ht="15.95" customHeight="1">
      <c r="B296" s="309" t="s">
        <v>497</v>
      </c>
      <c r="J296" s="314">
        <f t="shared" si="122"/>
        <v>0</v>
      </c>
      <c r="K296" s="314">
        <f t="shared" si="123"/>
        <v>121000</v>
      </c>
      <c r="L296" s="314">
        <f>SUM(L297)</f>
        <v>0</v>
      </c>
      <c r="M296" s="314">
        <f>SUM(M297)</f>
        <v>121000</v>
      </c>
      <c r="P296" s="1042"/>
      <c r="Q296" s="314">
        <f t="shared" si="124"/>
        <v>121000</v>
      </c>
      <c r="R296" s="314">
        <f t="shared" si="124"/>
        <v>33945</v>
      </c>
    </row>
    <row r="297" spans="1:21" s="41" customFormat="1" ht="30">
      <c r="C297" s="153" t="s">
        <v>498</v>
      </c>
      <c r="D297" s="683">
        <v>41271</v>
      </c>
      <c r="E297" s="683" t="s">
        <v>5782</v>
      </c>
      <c r="F297" s="98" t="s">
        <v>5781</v>
      </c>
      <c r="G297" s="97"/>
      <c r="H297" s="243"/>
      <c r="I297" s="184"/>
      <c r="K297" s="186">
        <v>121000</v>
      </c>
      <c r="L297" s="184"/>
      <c r="M297" s="186">
        <f>SUM(K297:L297)</f>
        <v>121000</v>
      </c>
      <c r="N297" s="102"/>
      <c r="O297" s="151" t="s">
        <v>135</v>
      </c>
      <c r="P297" s="62" t="s">
        <v>105</v>
      </c>
      <c r="Q297" s="320">
        <v>121000</v>
      </c>
      <c r="R297" s="320">
        <v>33945</v>
      </c>
      <c r="S297" s="1061" t="s">
        <v>6097</v>
      </c>
      <c r="T297" s="69" t="s">
        <v>153</v>
      </c>
      <c r="U297" s="12" t="s">
        <v>499</v>
      </c>
    </row>
    <row r="298" spans="1:21" ht="15.95" customHeight="1">
      <c r="P298" s="1042"/>
    </row>
    <row r="299" spans="1:21" ht="15">
      <c r="A299" s="1041" t="s">
        <v>4941</v>
      </c>
      <c r="B299" s="309" t="s">
        <v>4942</v>
      </c>
      <c r="I299" s="332">
        <v>207000</v>
      </c>
      <c r="J299" s="314">
        <f t="shared" ref="J299:J300" si="125">SUM(J300)</f>
        <v>0</v>
      </c>
      <c r="K299" s="314">
        <f t="shared" ref="K299:M300" si="126">SUM(K300)</f>
        <v>0</v>
      </c>
      <c r="L299" s="314">
        <f>SUM(L300)</f>
        <v>207000</v>
      </c>
      <c r="M299" s="314">
        <f>SUM(M300)</f>
        <v>207000</v>
      </c>
      <c r="P299" s="1042"/>
      <c r="Q299" s="314">
        <f t="shared" ref="Q299:Q300" si="127">SUM(Q300)</f>
        <v>207000</v>
      </c>
      <c r="R299" s="314">
        <f t="shared" ref="R299:R300" si="128">SUM(R300)</f>
        <v>207000</v>
      </c>
    </row>
    <row r="300" spans="1:21" ht="15.95" customHeight="1">
      <c r="B300" s="309" t="s">
        <v>2795</v>
      </c>
      <c r="J300" s="314">
        <f t="shared" si="125"/>
        <v>0</v>
      </c>
      <c r="K300" s="314">
        <f t="shared" si="126"/>
        <v>0</v>
      </c>
      <c r="L300" s="314">
        <f t="shared" si="126"/>
        <v>207000</v>
      </c>
      <c r="M300" s="314">
        <f t="shared" si="126"/>
        <v>207000</v>
      </c>
      <c r="P300" s="1042"/>
      <c r="Q300" s="314">
        <f t="shared" si="127"/>
        <v>207000</v>
      </c>
      <c r="R300" s="314">
        <f t="shared" si="128"/>
        <v>207000</v>
      </c>
    </row>
    <row r="301" spans="1:21" s="3" customFormat="1" ht="374.25" customHeight="1">
      <c r="B301" s="335"/>
      <c r="C301" s="336" t="s">
        <v>500</v>
      </c>
      <c r="D301" s="683">
        <v>41270</v>
      </c>
      <c r="E301" s="683" t="s">
        <v>4963</v>
      </c>
      <c r="F301" s="63" t="s">
        <v>129</v>
      </c>
      <c r="G301" s="63"/>
      <c r="H301" s="334"/>
      <c r="I301" s="202"/>
      <c r="J301" s="202"/>
      <c r="L301" s="306">
        <v>207000</v>
      </c>
      <c r="M301" s="186">
        <f>SUM(J301:L301)</f>
        <v>207000</v>
      </c>
      <c r="O301" s="151" t="s">
        <v>135</v>
      </c>
      <c r="P301" s="62" t="s">
        <v>105</v>
      </c>
      <c r="Q301" s="320">
        <v>207000</v>
      </c>
      <c r="R301" s="320">
        <v>207000</v>
      </c>
      <c r="S301" s="1050" t="s">
        <v>6054</v>
      </c>
      <c r="T301" s="735"/>
      <c r="U301" s="118" t="s">
        <v>501</v>
      </c>
    </row>
    <row r="304" spans="1:21" s="30" customFormat="1" ht="20.100000000000001" customHeight="1" thickBot="1">
      <c r="B304" s="38" t="s">
        <v>4538</v>
      </c>
      <c r="C304" s="32"/>
      <c r="D304" s="671"/>
      <c r="E304" s="879"/>
      <c r="F304" s="31"/>
      <c r="G304" s="31"/>
      <c r="H304" s="519"/>
      <c r="I304" s="1013">
        <f>I9+I13+I19+I23+I27+I247+I251+I262+I268+I281+I287+I291+I295+I299</f>
        <v>33293236</v>
      </c>
      <c r="J304" s="1013">
        <f>J9+J13+J19+J23+J27+J247+J251+J262+J268+J281+J287+J291+J295+J299</f>
        <v>0</v>
      </c>
      <c r="K304" s="1013">
        <f>K9+K13+K19+K23+K27+K247+K251+K262+K268+K281+K287+K291+K295+K299</f>
        <v>2085778.9410000001</v>
      </c>
      <c r="L304" s="1013">
        <f>L9+L13+L19+L23+L27+L247+L251+L262+L268+L281+L287+L291+L295+L299</f>
        <v>30991823.940000001</v>
      </c>
      <c r="M304" s="1013">
        <f>M9+M13+M19+M23+M27+M247+M251+M262+M268+M281+M287+M291+M295+M299</f>
        <v>33077602.881000001</v>
      </c>
      <c r="N304" s="32"/>
      <c r="O304" s="32"/>
      <c r="P304" s="32"/>
      <c r="Q304" s="1013">
        <f t="shared" ref="Q304:R304" si="129">Q9+Q13+Q19+Q23+Q27+Q247+Q251+Q262+Q268+Q281+Q287+Q291+Q295+Q299</f>
        <v>22248813.425000001</v>
      </c>
      <c r="R304" s="1013">
        <f t="shared" si="129"/>
        <v>21517656.061000001</v>
      </c>
      <c r="S304" s="727"/>
      <c r="T304" s="32"/>
      <c r="U304" s="31"/>
    </row>
    <row r="305" spans="2:19" ht="15.95" customHeight="1" thickTop="1"/>
    <row r="307" spans="2:19" ht="15.95" customHeight="1">
      <c r="B307" s="1043" t="s">
        <v>4792</v>
      </c>
    </row>
    <row r="308" spans="2:19" ht="15.95" customHeight="1">
      <c r="B308" s="1044" t="s">
        <v>4793</v>
      </c>
    </row>
    <row r="309" spans="2:19" ht="75">
      <c r="B309" s="959" t="s">
        <v>4794</v>
      </c>
      <c r="C309" s="195" t="s">
        <v>4796</v>
      </c>
      <c r="D309" s="557">
        <v>41346</v>
      </c>
      <c r="F309" s="907" t="s">
        <v>4795</v>
      </c>
      <c r="I309" s="303">
        <v>25435</v>
      </c>
      <c r="M309" s="194">
        <v>4756</v>
      </c>
      <c r="O309" s="195" t="s">
        <v>4797</v>
      </c>
      <c r="P309" s="195" t="s">
        <v>105</v>
      </c>
      <c r="Q309" s="309">
        <v>4350</v>
      </c>
      <c r="R309" s="38">
        <v>4350</v>
      </c>
      <c r="S309" s="34" t="s">
        <v>4798</v>
      </c>
    </row>
    <row r="350" spans="2:266" s="194" customFormat="1" ht="15.95" customHeight="1">
      <c r="B350" s="197" t="s">
        <v>22</v>
      </c>
      <c r="C350" s="195"/>
      <c r="D350" s="557"/>
      <c r="E350" s="557"/>
      <c r="H350" s="303"/>
      <c r="I350" s="303"/>
      <c r="O350" s="195"/>
      <c r="P350" s="195"/>
      <c r="Q350" s="309"/>
      <c r="R350" s="38"/>
      <c r="S350" s="38"/>
      <c r="T350" s="195"/>
      <c r="U350" s="905"/>
      <c r="V350" s="905"/>
      <c r="W350" s="905"/>
      <c r="X350" s="905"/>
      <c r="Y350" s="905"/>
      <c r="Z350" s="905"/>
      <c r="AA350" s="905"/>
      <c r="AB350" s="905"/>
      <c r="AC350" s="905"/>
      <c r="AD350" s="905"/>
      <c r="AE350" s="905"/>
      <c r="AF350" s="905"/>
      <c r="AG350" s="905"/>
      <c r="AH350" s="905"/>
      <c r="AI350" s="905"/>
      <c r="AJ350" s="905"/>
      <c r="AK350" s="905"/>
      <c r="AL350" s="905"/>
      <c r="AM350" s="905"/>
      <c r="AN350" s="905"/>
      <c r="AO350" s="905"/>
      <c r="AP350" s="905"/>
      <c r="AQ350" s="905"/>
      <c r="AR350" s="905"/>
      <c r="AS350" s="905"/>
      <c r="AT350" s="905"/>
      <c r="AU350" s="905"/>
      <c r="AV350" s="905"/>
      <c r="AW350" s="905"/>
      <c r="AX350" s="905"/>
      <c r="AY350" s="905"/>
      <c r="AZ350" s="905"/>
      <c r="BA350" s="905"/>
      <c r="BB350" s="905"/>
      <c r="BC350" s="905"/>
      <c r="BD350" s="905"/>
      <c r="BE350" s="905"/>
      <c r="BF350" s="905"/>
      <c r="BG350" s="905"/>
      <c r="BH350" s="905"/>
      <c r="BI350" s="905"/>
      <c r="BJ350" s="905"/>
      <c r="BK350" s="905"/>
      <c r="BL350" s="905"/>
      <c r="BM350" s="905"/>
      <c r="BN350" s="905"/>
      <c r="BO350" s="905"/>
      <c r="BP350" s="905"/>
      <c r="BQ350" s="905"/>
      <c r="BR350" s="905"/>
      <c r="BS350" s="905"/>
      <c r="BT350" s="905"/>
      <c r="BU350" s="905"/>
      <c r="BV350" s="905"/>
      <c r="BW350" s="905"/>
      <c r="BX350" s="905"/>
      <c r="BY350" s="905"/>
      <c r="BZ350" s="905"/>
      <c r="CA350" s="905"/>
      <c r="CB350" s="905"/>
      <c r="CC350" s="905"/>
      <c r="CD350" s="905"/>
      <c r="CE350" s="905"/>
      <c r="CF350" s="905"/>
      <c r="CG350" s="905"/>
      <c r="CH350" s="905"/>
      <c r="CI350" s="905"/>
      <c r="CJ350" s="905"/>
      <c r="CK350" s="905"/>
      <c r="CL350" s="905"/>
      <c r="CM350" s="905"/>
      <c r="CN350" s="905"/>
      <c r="CO350" s="905"/>
      <c r="CP350" s="905"/>
      <c r="CQ350" s="905"/>
      <c r="CR350" s="905"/>
      <c r="CS350" s="905"/>
      <c r="CT350" s="905"/>
      <c r="CU350" s="905"/>
      <c r="CV350" s="905"/>
      <c r="CW350" s="905"/>
      <c r="CX350" s="905"/>
      <c r="CY350" s="905"/>
      <c r="CZ350" s="905"/>
      <c r="DA350" s="905"/>
      <c r="DB350" s="905"/>
      <c r="DC350" s="905"/>
      <c r="DD350" s="905"/>
      <c r="DE350" s="905"/>
      <c r="DF350" s="905"/>
      <c r="DG350" s="905"/>
      <c r="DH350" s="905"/>
      <c r="DI350" s="905"/>
      <c r="DJ350" s="905"/>
      <c r="DK350" s="905"/>
      <c r="DL350" s="905"/>
      <c r="DM350" s="905"/>
      <c r="DN350" s="905"/>
      <c r="DO350" s="905"/>
      <c r="DP350" s="905"/>
      <c r="DQ350" s="905"/>
      <c r="DR350" s="905"/>
      <c r="DS350" s="905"/>
      <c r="DT350" s="905"/>
      <c r="DU350" s="905"/>
      <c r="DV350" s="905"/>
      <c r="DW350" s="905"/>
      <c r="DX350" s="905"/>
      <c r="DY350" s="905"/>
      <c r="DZ350" s="905"/>
      <c r="EA350" s="905"/>
      <c r="EB350" s="905"/>
      <c r="EC350" s="905"/>
      <c r="ED350" s="905"/>
      <c r="EE350" s="905"/>
      <c r="EF350" s="905"/>
      <c r="EG350" s="905"/>
      <c r="EH350" s="905"/>
      <c r="EI350" s="905"/>
      <c r="EJ350" s="905"/>
      <c r="EK350" s="905"/>
      <c r="EL350" s="905"/>
      <c r="EM350" s="905"/>
      <c r="EN350" s="905"/>
      <c r="EO350" s="905"/>
      <c r="EP350" s="905"/>
      <c r="EQ350" s="905"/>
      <c r="ER350" s="905"/>
      <c r="ES350" s="905"/>
      <c r="ET350" s="905"/>
      <c r="EU350" s="905"/>
      <c r="EV350" s="905"/>
      <c r="EW350" s="905"/>
      <c r="EX350" s="905"/>
      <c r="EY350" s="905"/>
      <c r="EZ350" s="905"/>
      <c r="FA350" s="905"/>
      <c r="FB350" s="905"/>
      <c r="FC350" s="905"/>
      <c r="FD350" s="905"/>
      <c r="FE350" s="905"/>
      <c r="FF350" s="905"/>
      <c r="FG350" s="905"/>
      <c r="FH350" s="905"/>
      <c r="FI350" s="905"/>
      <c r="FJ350" s="905"/>
      <c r="FK350" s="905"/>
      <c r="FL350" s="905"/>
      <c r="FM350" s="905"/>
      <c r="FN350" s="905"/>
      <c r="FO350" s="905"/>
      <c r="FP350" s="905"/>
      <c r="FQ350" s="905"/>
      <c r="FR350" s="905"/>
      <c r="FS350" s="905"/>
      <c r="FT350" s="905"/>
      <c r="FU350" s="905"/>
      <c r="FV350" s="905"/>
      <c r="FW350" s="905"/>
      <c r="FX350" s="905"/>
      <c r="FY350" s="905"/>
      <c r="FZ350" s="905"/>
      <c r="GA350" s="905"/>
      <c r="GB350" s="905"/>
      <c r="GC350" s="905"/>
      <c r="GD350" s="905"/>
      <c r="GE350" s="905"/>
      <c r="GF350" s="905"/>
      <c r="GG350" s="905"/>
      <c r="GH350" s="905"/>
      <c r="GI350" s="905"/>
      <c r="GJ350" s="905"/>
      <c r="GK350" s="905"/>
      <c r="GL350" s="905"/>
      <c r="GM350" s="905"/>
      <c r="GN350" s="905"/>
      <c r="GO350" s="905"/>
      <c r="GP350" s="905"/>
      <c r="GQ350" s="905"/>
      <c r="GR350" s="905"/>
      <c r="GS350" s="905"/>
      <c r="GT350" s="905"/>
      <c r="GU350" s="905"/>
      <c r="GV350" s="905"/>
      <c r="GW350" s="905"/>
      <c r="GX350" s="905"/>
      <c r="GY350" s="905"/>
      <c r="GZ350" s="905"/>
      <c r="HA350" s="905"/>
      <c r="HB350" s="905"/>
      <c r="HC350" s="905"/>
      <c r="HD350" s="905"/>
      <c r="HE350" s="905"/>
      <c r="HF350" s="905"/>
      <c r="HG350" s="905"/>
      <c r="HH350" s="905"/>
      <c r="HI350" s="905"/>
      <c r="HJ350" s="905"/>
      <c r="HK350" s="905"/>
      <c r="HL350" s="905"/>
      <c r="HM350" s="905"/>
      <c r="HN350" s="905"/>
      <c r="HO350" s="905"/>
      <c r="HP350" s="905"/>
      <c r="HQ350" s="905"/>
      <c r="HR350" s="905"/>
      <c r="HS350" s="905"/>
      <c r="HT350" s="905"/>
      <c r="HU350" s="905"/>
      <c r="HV350" s="905"/>
      <c r="HW350" s="905"/>
      <c r="HX350" s="905"/>
      <c r="HY350" s="905"/>
      <c r="HZ350" s="905"/>
      <c r="IA350" s="905"/>
      <c r="IB350" s="905"/>
      <c r="IC350" s="905"/>
      <c r="ID350" s="905"/>
      <c r="IE350" s="905"/>
      <c r="IF350" s="905"/>
      <c r="IG350" s="905"/>
      <c r="IH350" s="905"/>
      <c r="II350" s="905"/>
      <c r="IJ350" s="905"/>
      <c r="IK350" s="905"/>
      <c r="IL350" s="905"/>
      <c r="IM350" s="905"/>
      <c r="IN350" s="905"/>
      <c r="IO350" s="905"/>
      <c r="IP350" s="905"/>
      <c r="IQ350" s="905"/>
      <c r="IR350" s="905"/>
      <c r="IS350" s="905"/>
      <c r="IT350" s="905"/>
      <c r="IU350" s="905"/>
      <c r="IV350" s="905"/>
      <c r="IW350" s="905"/>
      <c r="IX350" s="905"/>
      <c r="IY350" s="905"/>
      <c r="IZ350" s="905"/>
      <c r="JA350" s="905"/>
      <c r="JB350" s="905"/>
      <c r="JC350" s="905"/>
      <c r="JD350" s="905"/>
      <c r="JE350" s="905"/>
      <c r="JF350" s="905"/>
    </row>
    <row r="899" spans="2:266" s="196" customFormat="1" ht="15.95" customHeight="1">
      <c r="B899" s="194"/>
      <c r="C899" s="195" t="s">
        <v>23</v>
      </c>
      <c r="D899" s="557"/>
      <c r="E899" s="557"/>
      <c r="F899" s="194"/>
      <c r="G899" s="194"/>
      <c r="H899" s="303"/>
      <c r="I899" s="303"/>
      <c r="J899" s="194"/>
      <c r="K899" s="194"/>
      <c r="L899" s="194"/>
      <c r="M899" s="194"/>
      <c r="N899" s="194"/>
      <c r="O899" s="195"/>
      <c r="P899" s="195"/>
      <c r="Q899" s="309"/>
      <c r="R899" s="38"/>
      <c r="S899" s="38"/>
      <c r="T899" s="195"/>
      <c r="U899" s="905"/>
      <c r="V899" s="905"/>
      <c r="W899" s="905"/>
      <c r="X899" s="905"/>
      <c r="Y899" s="905"/>
      <c r="Z899" s="905"/>
      <c r="AA899" s="905"/>
      <c r="AB899" s="905"/>
      <c r="AC899" s="905"/>
      <c r="AD899" s="905"/>
      <c r="AE899" s="905"/>
      <c r="AF899" s="905"/>
      <c r="AG899" s="905"/>
      <c r="AH899" s="905"/>
      <c r="AI899" s="905"/>
      <c r="AJ899" s="905"/>
      <c r="AK899" s="905"/>
      <c r="AL899" s="905"/>
      <c r="AM899" s="905"/>
      <c r="AN899" s="905"/>
      <c r="AO899" s="905"/>
      <c r="AP899" s="905"/>
      <c r="AQ899" s="905"/>
      <c r="AR899" s="905"/>
      <c r="AS899" s="905"/>
      <c r="AT899" s="905"/>
      <c r="AU899" s="905"/>
      <c r="AV899" s="905"/>
      <c r="AW899" s="905"/>
      <c r="AX899" s="905"/>
      <c r="AY899" s="905"/>
      <c r="AZ899" s="905"/>
      <c r="BA899" s="905"/>
      <c r="BB899" s="905"/>
      <c r="BC899" s="905"/>
      <c r="BD899" s="905"/>
      <c r="BE899" s="905"/>
      <c r="BF899" s="905"/>
      <c r="BG899" s="905"/>
      <c r="BH899" s="905"/>
      <c r="BI899" s="905"/>
      <c r="BJ899" s="905"/>
      <c r="BK899" s="905"/>
      <c r="BL899" s="905"/>
      <c r="BM899" s="905"/>
      <c r="BN899" s="905"/>
      <c r="BO899" s="905"/>
      <c r="BP899" s="905"/>
      <c r="BQ899" s="905"/>
      <c r="BR899" s="905"/>
      <c r="BS899" s="905"/>
      <c r="BT899" s="905"/>
      <c r="BU899" s="905"/>
      <c r="BV899" s="905"/>
      <c r="BW899" s="905"/>
      <c r="BX899" s="905"/>
      <c r="BY899" s="905"/>
      <c r="BZ899" s="905"/>
      <c r="CA899" s="905"/>
      <c r="CB899" s="905"/>
      <c r="CC899" s="905"/>
      <c r="CD899" s="905"/>
      <c r="CE899" s="905"/>
      <c r="CF899" s="905"/>
      <c r="CG899" s="905"/>
      <c r="CH899" s="905"/>
      <c r="CI899" s="905"/>
      <c r="CJ899" s="905"/>
      <c r="CK899" s="905"/>
      <c r="CL899" s="905"/>
      <c r="CM899" s="905"/>
      <c r="CN899" s="905"/>
      <c r="CO899" s="905"/>
      <c r="CP899" s="905"/>
      <c r="CQ899" s="905"/>
      <c r="CR899" s="905"/>
      <c r="CS899" s="905"/>
      <c r="CT899" s="905"/>
      <c r="CU899" s="905"/>
      <c r="CV899" s="905"/>
      <c r="CW899" s="905"/>
      <c r="CX899" s="905"/>
      <c r="CY899" s="905"/>
      <c r="CZ899" s="905"/>
      <c r="DA899" s="905"/>
      <c r="DB899" s="905"/>
      <c r="DC899" s="905"/>
      <c r="DD899" s="905"/>
      <c r="DE899" s="905"/>
      <c r="DF899" s="905"/>
      <c r="DG899" s="905"/>
      <c r="DH899" s="905"/>
      <c r="DI899" s="905"/>
      <c r="DJ899" s="905"/>
      <c r="DK899" s="905"/>
      <c r="DL899" s="905"/>
      <c r="DM899" s="905"/>
      <c r="DN899" s="905"/>
      <c r="DO899" s="905"/>
      <c r="DP899" s="905"/>
      <c r="DQ899" s="905"/>
      <c r="DR899" s="905"/>
      <c r="DS899" s="905"/>
      <c r="DT899" s="905"/>
      <c r="DU899" s="905"/>
      <c r="DV899" s="905"/>
      <c r="DW899" s="905"/>
      <c r="DX899" s="905"/>
      <c r="DY899" s="905"/>
      <c r="DZ899" s="905"/>
      <c r="EA899" s="905"/>
      <c r="EB899" s="905"/>
      <c r="EC899" s="905"/>
      <c r="ED899" s="905"/>
      <c r="EE899" s="905"/>
      <c r="EF899" s="905"/>
      <c r="EG899" s="905"/>
      <c r="EH899" s="905"/>
      <c r="EI899" s="905"/>
      <c r="EJ899" s="905"/>
      <c r="EK899" s="905"/>
      <c r="EL899" s="905"/>
      <c r="EM899" s="905"/>
      <c r="EN899" s="905"/>
      <c r="EO899" s="905"/>
      <c r="EP899" s="905"/>
      <c r="EQ899" s="905"/>
      <c r="ER899" s="905"/>
      <c r="ES899" s="905"/>
      <c r="ET899" s="905"/>
      <c r="EU899" s="905"/>
      <c r="EV899" s="905"/>
      <c r="EW899" s="905"/>
      <c r="EX899" s="905"/>
      <c r="EY899" s="905"/>
      <c r="EZ899" s="905"/>
      <c r="FA899" s="905"/>
      <c r="FB899" s="905"/>
      <c r="FC899" s="905"/>
      <c r="FD899" s="905"/>
      <c r="FE899" s="905"/>
      <c r="FF899" s="905"/>
      <c r="FG899" s="905"/>
      <c r="FH899" s="905"/>
      <c r="FI899" s="905"/>
      <c r="FJ899" s="905"/>
      <c r="FK899" s="905"/>
      <c r="FL899" s="905"/>
      <c r="FM899" s="905"/>
      <c r="FN899" s="905"/>
      <c r="FO899" s="905"/>
      <c r="FP899" s="905"/>
      <c r="FQ899" s="905"/>
      <c r="FR899" s="905"/>
      <c r="FS899" s="905"/>
      <c r="FT899" s="905"/>
      <c r="FU899" s="905"/>
      <c r="FV899" s="905"/>
      <c r="FW899" s="905"/>
      <c r="FX899" s="905"/>
      <c r="FY899" s="905"/>
      <c r="FZ899" s="905"/>
      <c r="GA899" s="905"/>
      <c r="GB899" s="905"/>
      <c r="GC899" s="905"/>
      <c r="GD899" s="905"/>
      <c r="GE899" s="905"/>
      <c r="GF899" s="905"/>
      <c r="GG899" s="905"/>
      <c r="GH899" s="905"/>
      <c r="GI899" s="905"/>
      <c r="GJ899" s="905"/>
      <c r="GK899" s="905"/>
      <c r="GL899" s="905"/>
      <c r="GM899" s="905"/>
      <c r="GN899" s="905"/>
      <c r="GO899" s="905"/>
      <c r="GP899" s="905"/>
      <c r="GQ899" s="905"/>
      <c r="GR899" s="905"/>
      <c r="GS899" s="905"/>
      <c r="GT899" s="905"/>
      <c r="GU899" s="905"/>
      <c r="GV899" s="905"/>
      <c r="GW899" s="905"/>
      <c r="GX899" s="905"/>
      <c r="GY899" s="905"/>
      <c r="GZ899" s="905"/>
      <c r="HA899" s="905"/>
      <c r="HB899" s="905"/>
      <c r="HC899" s="905"/>
      <c r="HD899" s="905"/>
      <c r="HE899" s="905"/>
      <c r="HF899" s="905"/>
      <c r="HG899" s="905"/>
      <c r="HH899" s="905"/>
      <c r="HI899" s="905"/>
      <c r="HJ899" s="905"/>
      <c r="HK899" s="905"/>
      <c r="HL899" s="905"/>
      <c r="HM899" s="905"/>
      <c r="HN899" s="905"/>
      <c r="HO899" s="905"/>
      <c r="HP899" s="905"/>
      <c r="HQ899" s="905"/>
      <c r="HR899" s="905"/>
      <c r="HS899" s="905"/>
      <c r="HT899" s="905"/>
      <c r="HU899" s="905"/>
      <c r="HV899" s="905"/>
      <c r="HW899" s="905"/>
      <c r="HX899" s="905"/>
      <c r="HY899" s="905"/>
      <c r="HZ899" s="905"/>
      <c r="IA899" s="905"/>
      <c r="IB899" s="905"/>
      <c r="IC899" s="905"/>
      <c r="ID899" s="905"/>
      <c r="IE899" s="905"/>
      <c r="IF899" s="905"/>
      <c r="IG899" s="905"/>
      <c r="IH899" s="905"/>
      <c r="II899" s="905"/>
      <c r="IJ899" s="905"/>
      <c r="IK899" s="905"/>
      <c r="IL899" s="905"/>
      <c r="IM899" s="905"/>
      <c r="IN899" s="905"/>
      <c r="IO899" s="905"/>
      <c r="IP899" s="905"/>
      <c r="IQ899" s="905"/>
      <c r="IR899" s="905"/>
      <c r="IS899" s="905"/>
      <c r="IT899" s="905"/>
      <c r="IU899" s="905"/>
      <c r="IV899" s="905"/>
      <c r="IW899" s="905"/>
      <c r="IX899" s="905"/>
      <c r="IY899" s="905"/>
      <c r="IZ899" s="905"/>
      <c r="JA899" s="905"/>
      <c r="JB899" s="905"/>
      <c r="JC899" s="905"/>
      <c r="JD899" s="905"/>
      <c r="JE899" s="905"/>
      <c r="JF899" s="905"/>
    </row>
    <row r="900" spans="2:266" s="196" customFormat="1" ht="15.95" customHeight="1">
      <c r="B900" s="194"/>
      <c r="C900" s="195" t="s">
        <v>24</v>
      </c>
      <c r="D900" s="557"/>
      <c r="E900" s="557"/>
      <c r="F900" s="194"/>
      <c r="G900" s="194"/>
      <c r="H900" s="303"/>
      <c r="I900" s="303"/>
      <c r="J900" s="194"/>
      <c r="K900" s="194"/>
      <c r="L900" s="194"/>
      <c r="M900" s="194"/>
      <c r="N900" s="194"/>
      <c r="O900" s="195"/>
      <c r="P900" s="195"/>
      <c r="Q900" s="309"/>
      <c r="R900" s="38"/>
      <c r="S900" s="38"/>
      <c r="T900" s="195"/>
      <c r="U900" s="905"/>
      <c r="V900" s="905"/>
      <c r="W900" s="905"/>
      <c r="X900" s="905"/>
      <c r="Y900" s="905"/>
      <c r="Z900" s="905"/>
      <c r="AA900" s="905"/>
      <c r="AB900" s="905"/>
      <c r="AC900" s="905"/>
      <c r="AD900" s="905"/>
      <c r="AE900" s="905"/>
      <c r="AF900" s="905"/>
      <c r="AG900" s="905"/>
      <c r="AH900" s="905"/>
      <c r="AI900" s="905"/>
      <c r="AJ900" s="905"/>
      <c r="AK900" s="905"/>
      <c r="AL900" s="905"/>
      <c r="AM900" s="905"/>
      <c r="AN900" s="905"/>
      <c r="AO900" s="905"/>
      <c r="AP900" s="905"/>
      <c r="AQ900" s="905"/>
      <c r="AR900" s="905"/>
      <c r="AS900" s="905"/>
      <c r="AT900" s="905"/>
      <c r="AU900" s="905"/>
      <c r="AV900" s="905"/>
      <c r="AW900" s="905"/>
      <c r="AX900" s="905"/>
      <c r="AY900" s="905"/>
      <c r="AZ900" s="905"/>
      <c r="BA900" s="905"/>
      <c r="BB900" s="905"/>
      <c r="BC900" s="905"/>
      <c r="BD900" s="905"/>
      <c r="BE900" s="905"/>
      <c r="BF900" s="905"/>
      <c r="BG900" s="905"/>
      <c r="BH900" s="905"/>
      <c r="BI900" s="905"/>
      <c r="BJ900" s="905"/>
      <c r="BK900" s="905"/>
      <c r="BL900" s="905"/>
      <c r="BM900" s="905"/>
      <c r="BN900" s="905"/>
      <c r="BO900" s="905"/>
      <c r="BP900" s="905"/>
      <c r="BQ900" s="905"/>
      <c r="BR900" s="905"/>
      <c r="BS900" s="905"/>
      <c r="BT900" s="905"/>
      <c r="BU900" s="905"/>
      <c r="BV900" s="905"/>
      <c r="BW900" s="905"/>
      <c r="BX900" s="905"/>
      <c r="BY900" s="905"/>
      <c r="BZ900" s="905"/>
      <c r="CA900" s="905"/>
      <c r="CB900" s="905"/>
      <c r="CC900" s="905"/>
      <c r="CD900" s="905"/>
      <c r="CE900" s="905"/>
      <c r="CF900" s="905"/>
      <c r="CG900" s="905"/>
      <c r="CH900" s="905"/>
      <c r="CI900" s="905"/>
      <c r="CJ900" s="905"/>
      <c r="CK900" s="905"/>
      <c r="CL900" s="905"/>
      <c r="CM900" s="905"/>
      <c r="CN900" s="905"/>
      <c r="CO900" s="905"/>
      <c r="CP900" s="905"/>
      <c r="CQ900" s="905"/>
      <c r="CR900" s="905"/>
      <c r="CS900" s="905"/>
      <c r="CT900" s="905"/>
      <c r="CU900" s="905"/>
      <c r="CV900" s="905"/>
      <c r="CW900" s="905"/>
      <c r="CX900" s="905"/>
      <c r="CY900" s="905"/>
      <c r="CZ900" s="905"/>
      <c r="DA900" s="905"/>
      <c r="DB900" s="905"/>
      <c r="DC900" s="905"/>
      <c r="DD900" s="905"/>
      <c r="DE900" s="905"/>
      <c r="DF900" s="905"/>
      <c r="DG900" s="905"/>
      <c r="DH900" s="905"/>
      <c r="DI900" s="905"/>
      <c r="DJ900" s="905"/>
      <c r="DK900" s="905"/>
      <c r="DL900" s="905"/>
      <c r="DM900" s="905"/>
      <c r="DN900" s="905"/>
      <c r="DO900" s="905"/>
      <c r="DP900" s="905"/>
      <c r="DQ900" s="905"/>
      <c r="DR900" s="905"/>
      <c r="DS900" s="905"/>
      <c r="DT900" s="905"/>
      <c r="DU900" s="905"/>
      <c r="DV900" s="905"/>
      <c r="DW900" s="905"/>
      <c r="DX900" s="905"/>
      <c r="DY900" s="905"/>
      <c r="DZ900" s="905"/>
      <c r="EA900" s="905"/>
      <c r="EB900" s="905"/>
      <c r="EC900" s="905"/>
      <c r="ED900" s="905"/>
      <c r="EE900" s="905"/>
      <c r="EF900" s="905"/>
      <c r="EG900" s="905"/>
      <c r="EH900" s="905"/>
      <c r="EI900" s="905"/>
      <c r="EJ900" s="905"/>
      <c r="EK900" s="905"/>
      <c r="EL900" s="905"/>
      <c r="EM900" s="905"/>
      <c r="EN900" s="905"/>
      <c r="EO900" s="905"/>
      <c r="EP900" s="905"/>
      <c r="EQ900" s="905"/>
      <c r="ER900" s="905"/>
      <c r="ES900" s="905"/>
      <c r="ET900" s="905"/>
      <c r="EU900" s="905"/>
      <c r="EV900" s="905"/>
      <c r="EW900" s="905"/>
      <c r="EX900" s="905"/>
      <c r="EY900" s="905"/>
      <c r="EZ900" s="905"/>
      <c r="FA900" s="905"/>
      <c r="FB900" s="905"/>
      <c r="FC900" s="905"/>
      <c r="FD900" s="905"/>
      <c r="FE900" s="905"/>
      <c r="FF900" s="905"/>
      <c r="FG900" s="905"/>
      <c r="FH900" s="905"/>
      <c r="FI900" s="905"/>
      <c r="FJ900" s="905"/>
      <c r="FK900" s="905"/>
      <c r="FL900" s="905"/>
      <c r="FM900" s="905"/>
      <c r="FN900" s="905"/>
      <c r="FO900" s="905"/>
      <c r="FP900" s="905"/>
      <c r="FQ900" s="905"/>
      <c r="FR900" s="905"/>
      <c r="FS900" s="905"/>
      <c r="FT900" s="905"/>
      <c r="FU900" s="905"/>
      <c r="FV900" s="905"/>
      <c r="FW900" s="905"/>
      <c r="FX900" s="905"/>
      <c r="FY900" s="905"/>
      <c r="FZ900" s="905"/>
      <c r="GA900" s="905"/>
      <c r="GB900" s="905"/>
      <c r="GC900" s="905"/>
      <c r="GD900" s="905"/>
      <c r="GE900" s="905"/>
      <c r="GF900" s="905"/>
      <c r="GG900" s="905"/>
      <c r="GH900" s="905"/>
      <c r="GI900" s="905"/>
      <c r="GJ900" s="905"/>
      <c r="GK900" s="905"/>
      <c r="GL900" s="905"/>
      <c r="GM900" s="905"/>
      <c r="GN900" s="905"/>
      <c r="GO900" s="905"/>
      <c r="GP900" s="905"/>
      <c r="GQ900" s="905"/>
      <c r="GR900" s="905"/>
      <c r="GS900" s="905"/>
      <c r="GT900" s="905"/>
      <c r="GU900" s="905"/>
      <c r="GV900" s="905"/>
      <c r="GW900" s="905"/>
      <c r="GX900" s="905"/>
      <c r="GY900" s="905"/>
      <c r="GZ900" s="905"/>
      <c r="HA900" s="905"/>
      <c r="HB900" s="905"/>
      <c r="HC900" s="905"/>
      <c r="HD900" s="905"/>
      <c r="HE900" s="905"/>
      <c r="HF900" s="905"/>
      <c r="HG900" s="905"/>
      <c r="HH900" s="905"/>
      <c r="HI900" s="905"/>
      <c r="HJ900" s="905"/>
      <c r="HK900" s="905"/>
      <c r="HL900" s="905"/>
      <c r="HM900" s="905"/>
      <c r="HN900" s="905"/>
      <c r="HO900" s="905"/>
      <c r="HP900" s="905"/>
      <c r="HQ900" s="905"/>
      <c r="HR900" s="905"/>
      <c r="HS900" s="905"/>
      <c r="HT900" s="905"/>
      <c r="HU900" s="905"/>
      <c r="HV900" s="905"/>
      <c r="HW900" s="905"/>
      <c r="HX900" s="905"/>
      <c r="HY900" s="905"/>
      <c r="HZ900" s="905"/>
      <c r="IA900" s="905"/>
      <c r="IB900" s="905"/>
      <c r="IC900" s="905"/>
      <c r="ID900" s="905"/>
      <c r="IE900" s="905"/>
      <c r="IF900" s="905"/>
      <c r="IG900" s="905"/>
      <c r="IH900" s="905"/>
      <c r="II900" s="905"/>
      <c r="IJ900" s="905"/>
      <c r="IK900" s="905"/>
      <c r="IL900" s="905"/>
      <c r="IM900" s="905"/>
      <c r="IN900" s="905"/>
      <c r="IO900" s="905"/>
      <c r="IP900" s="905"/>
      <c r="IQ900" s="905"/>
      <c r="IR900" s="905"/>
      <c r="IS900" s="905"/>
      <c r="IT900" s="905"/>
      <c r="IU900" s="905"/>
      <c r="IV900" s="905"/>
      <c r="IW900" s="905"/>
      <c r="IX900" s="905"/>
      <c r="IY900" s="905"/>
      <c r="IZ900" s="905"/>
      <c r="JA900" s="905"/>
      <c r="JB900" s="905"/>
      <c r="JC900" s="905"/>
      <c r="JD900" s="905"/>
      <c r="JE900" s="905"/>
      <c r="JF900" s="905"/>
    </row>
  </sheetData>
  <customSheetViews>
    <customSheetView guid="{0D143C80-1B42-417D-B6C0-C88521CF36C7}" showPageBreaks="1" printArea="1" hiddenColumns="1" view="pageBreakPreview">
      <pane xSplit="2" ySplit="5" topLeftCell="C6" activePane="bottomRight" state="frozen"/>
      <selection pane="bottomRight" activeCell="C15" sqref="C15"/>
      <rowBreaks count="9" manualBreakCount="9">
        <brk id="38" max="20" man="1"/>
        <brk id="70" max="20" man="1"/>
        <brk id="103" max="20" man="1"/>
        <brk id="139" max="20" man="1"/>
        <brk id="173" max="20" man="1"/>
        <brk id="205" max="20" man="1"/>
        <brk id="233" max="20" man="1"/>
        <brk id="258" max="20" man="1"/>
        <brk id="285" max="20" man="1"/>
      </rowBreaks>
      <pageMargins left="0" right="0" top="0.3" bottom="0.3" header="0.4" footer="0.25"/>
      <printOptions horizontalCentered="1"/>
      <pageSetup paperSize="9" scale="53" orientation="landscape" r:id="rId1"/>
      <headerFooter>
        <oddFooter>&amp;C&amp;8&amp;P of &amp;N&amp;R&amp;8as of 28Dec31</oddFooter>
      </headerFooter>
    </customSheetView>
    <customSheetView guid="{5032F846-223D-4C05-81F5-66ECC60A941D}" showPageBreaks="1" printArea="1" hiddenColumns="1" view="pageBreakPreview">
      <pane xSplit="1" ySplit="5" topLeftCell="B236" activePane="bottomRight" state="frozen"/>
      <selection pane="bottomRight" activeCell="F241" sqref="F241"/>
      <rowBreaks count="6" manualBreakCount="6">
        <brk id="41" max="18" man="1"/>
        <brk id="70" max="18" man="1"/>
        <brk id="131" max="18" man="1"/>
        <brk id="226" max="18" man="1"/>
        <brk id="250" max="18" man="1"/>
        <brk id="277" max="18" man="1"/>
      </rowBreaks>
      <pageMargins left="0.51" right="0.2" top="0.42" bottom="0.39" header="0.4" footer="0.25"/>
      <printOptions horizontalCentered="1"/>
      <pageSetup paperSize="9" scale="56" orientation="landscape" r:id="rId2"/>
      <headerFooter>
        <oddFooter>&amp;C&amp;8&amp;P of &amp;N&amp;R&amp;8as of 28Dec31</oddFooter>
      </headerFooter>
    </customSheetView>
  </customSheetViews>
  <mergeCells count="20">
    <mergeCell ref="T4:T5"/>
    <mergeCell ref="U4:U5"/>
    <mergeCell ref="B120:B130"/>
    <mergeCell ref="F120:F130"/>
    <mergeCell ref="O4:O5"/>
    <mergeCell ref="Q4:S4"/>
    <mergeCell ref="J4:L4"/>
    <mergeCell ref="M4:M5"/>
    <mergeCell ref="A4:B5"/>
    <mergeCell ref="E4:F4"/>
    <mergeCell ref="B9:F9"/>
    <mergeCell ref="S264:S265"/>
    <mergeCell ref="B264:B266"/>
    <mergeCell ref="I4:I5"/>
    <mergeCell ref="N4:N5"/>
    <mergeCell ref="P4:P5"/>
    <mergeCell ref="G4:G5"/>
    <mergeCell ref="C4:C5"/>
    <mergeCell ref="D4:D5"/>
    <mergeCell ref="H4:H5"/>
  </mergeCells>
  <printOptions horizontalCentered="1"/>
  <pageMargins left="0" right="0" top="0.3" bottom="0.3" header="0.4" footer="0.25"/>
  <pageSetup paperSize="9" scale="53" orientation="landscape" r:id="rId3"/>
  <headerFooter>
    <oddFooter>&amp;C&amp;8&amp;P of &amp;N&amp;R&amp;8as of 28Dec31</oddFooter>
  </headerFooter>
  <rowBreaks count="9" manualBreakCount="9">
    <brk id="38" max="20" man="1"/>
    <brk id="70" max="20" man="1"/>
    <brk id="103" max="20" man="1"/>
    <brk id="139" max="20" man="1"/>
    <brk id="173" max="20" man="1"/>
    <brk id="205" max="20" man="1"/>
    <brk id="233" max="20" man="1"/>
    <brk id="258" max="20" man="1"/>
    <brk id="285" max="20" man="1"/>
  </rowBreaks>
  <drawing r:id="rId4"/>
</worksheet>
</file>

<file path=xl/worksheets/sheet3.xml><?xml version="1.0" encoding="utf-8"?>
<worksheet xmlns="http://schemas.openxmlformats.org/spreadsheetml/2006/main" xmlns:r="http://schemas.openxmlformats.org/officeDocument/2006/relationships">
  <sheetPr>
    <tabColor rgb="FFFFFF00"/>
  </sheetPr>
  <dimension ref="A1:JD684"/>
  <sheetViews>
    <sheetView view="pageBreakPreview" zoomScale="90" zoomScaleSheetLayoutView="90" workbookViewId="0">
      <pane xSplit="3" ySplit="5" topLeftCell="J6" activePane="bottomRight" state="frozen"/>
      <selection pane="topRight" activeCell="D1" sqref="D1"/>
      <selection pane="bottomLeft" activeCell="A6" sqref="A6"/>
      <selection pane="bottomRight" sqref="A1:XFD1048576"/>
    </sheetView>
  </sheetViews>
  <sheetFormatPr defaultColWidth="9.140625" defaultRowHeight="15"/>
  <cols>
    <col min="1" max="1" width="4.85546875" style="81" customWidth="1"/>
    <col min="2" max="2" width="51" style="15" customWidth="1"/>
    <col min="3" max="3" width="10.42578125" style="15" hidden="1" customWidth="1"/>
    <col min="4" max="4" width="20.140625" style="62" customWidth="1"/>
    <col min="5" max="6" width="11.85546875" style="84" customWidth="1"/>
    <col min="7" max="7" width="39.5703125" style="83" customWidth="1"/>
    <col min="8" max="8" width="37.5703125" style="83" hidden="1" customWidth="1"/>
    <col min="9" max="9" width="11.28515625" style="84" hidden="1" customWidth="1"/>
    <col min="10" max="10" width="12.85546875" style="310" customWidth="1"/>
    <col min="11" max="11" width="11" style="15" hidden="1" customWidth="1"/>
    <col min="12" max="12" width="11.140625" style="15" hidden="1" customWidth="1"/>
    <col min="13" max="13" width="12.7109375" style="15" hidden="1" customWidth="1"/>
    <col min="14" max="14" width="11.7109375" style="15" customWidth="1"/>
    <col min="15" max="15" width="10.42578125" style="15" hidden="1" customWidth="1"/>
    <col min="16" max="17" width="10.42578125" style="62" customWidth="1"/>
    <col min="18" max="18" width="14" style="591" customWidth="1"/>
    <col min="19" max="19" width="15.140625" style="591" customWidth="1"/>
    <col min="20" max="20" width="23.7109375" style="580" customWidth="1"/>
    <col min="21" max="21" width="11.7109375" style="275" hidden="1" customWidth="1"/>
    <col min="22" max="22" width="16" style="81" customWidth="1"/>
    <col min="23" max="23" width="15.5703125" style="566" hidden="1" customWidth="1"/>
    <col min="24" max="24" width="15.7109375" style="567" hidden="1" customWidth="1"/>
    <col min="25" max="255" width="15.7109375" style="81" customWidth="1"/>
    <col min="256" max="256" width="53.85546875" style="81" customWidth="1"/>
    <col min="257" max="257" width="20.140625" style="81" customWidth="1"/>
    <col min="258" max="258" width="8.140625" style="81" customWidth="1"/>
    <col min="259" max="259" width="11.28515625" style="81" customWidth="1"/>
    <col min="260" max="262" width="11.140625" style="81" customWidth="1"/>
    <col min="263" max="263" width="15.7109375" style="81" customWidth="1"/>
    <col min="264" max="264" width="11.140625" style="81" customWidth="1"/>
    <col min="265" max="16384" width="9.140625" style="81"/>
  </cols>
  <sheetData>
    <row r="1" spans="1:24" s="563" customFormat="1" ht="15" customHeight="1">
      <c r="A1" s="174" t="s">
        <v>4524</v>
      </c>
      <c r="B1" s="174"/>
      <c r="C1" s="174"/>
      <c r="D1" s="559"/>
      <c r="E1" s="560"/>
      <c r="F1" s="560"/>
      <c r="G1" s="558"/>
      <c r="H1" s="558"/>
      <c r="I1" s="560"/>
      <c r="J1" s="217"/>
      <c r="K1" s="561"/>
      <c r="L1" s="561"/>
      <c r="M1" s="561"/>
      <c r="N1" s="561"/>
      <c r="O1" s="561"/>
      <c r="P1" s="559"/>
      <c r="Q1" s="559"/>
      <c r="R1" s="559"/>
      <c r="S1" s="559"/>
      <c r="T1" s="981"/>
      <c r="U1" s="562"/>
      <c r="W1" s="564"/>
      <c r="X1" s="565"/>
    </row>
    <row r="2" spans="1:24" s="563" customFormat="1" ht="15" customHeight="1">
      <c r="A2" s="174" t="s">
        <v>0</v>
      </c>
      <c r="B2" s="174"/>
      <c r="C2" s="174"/>
      <c r="D2" s="559"/>
      <c r="E2" s="560"/>
      <c r="F2" s="560"/>
      <c r="G2" s="558"/>
      <c r="H2" s="558"/>
      <c r="I2" s="560"/>
      <c r="J2" s="217"/>
      <c r="K2" s="561"/>
      <c r="L2" s="561"/>
      <c r="M2" s="561"/>
      <c r="N2" s="561"/>
      <c r="O2" s="561"/>
      <c r="P2" s="559"/>
      <c r="Q2" s="559"/>
      <c r="R2" s="559"/>
      <c r="S2" s="559"/>
      <c r="T2" s="981"/>
      <c r="U2" s="562"/>
      <c r="W2" s="564"/>
      <c r="X2" s="565"/>
    </row>
    <row r="3" spans="1:24" s="563" customFormat="1" ht="15" customHeight="1">
      <c r="B3" s="174"/>
      <c r="C3" s="174"/>
      <c r="D3" s="559"/>
      <c r="E3" s="560"/>
      <c r="F3" s="560"/>
      <c r="G3" s="558"/>
      <c r="H3" s="558"/>
      <c r="I3" s="560"/>
      <c r="J3" s="217"/>
      <c r="K3" s="561"/>
      <c r="L3" s="561"/>
      <c r="M3" s="561"/>
      <c r="N3" s="561"/>
      <c r="O3" s="561"/>
      <c r="P3" s="559"/>
      <c r="Q3" s="559"/>
      <c r="R3" s="559"/>
      <c r="S3" s="559"/>
      <c r="T3" s="981"/>
      <c r="U3" s="562"/>
      <c r="W3" s="564"/>
      <c r="X3" s="565"/>
    </row>
    <row r="4" spans="1:24" ht="24.95" customHeight="1">
      <c r="A4" s="1253" t="s">
        <v>4470</v>
      </c>
      <c r="B4" s="1254"/>
      <c r="C4" s="1268" t="s">
        <v>4473</v>
      </c>
      <c r="D4" s="1294" t="s">
        <v>2</v>
      </c>
      <c r="E4" s="1295" t="s">
        <v>3</v>
      </c>
      <c r="F4" s="1272" t="s">
        <v>4556</v>
      </c>
      <c r="G4" s="1273"/>
      <c r="H4" s="1292" t="s">
        <v>114</v>
      </c>
      <c r="I4" s="1270" t="s">
        <v>4</v>
      </c>
      <c r="J4" s="1258" t="s">
        <v>4477</v>
      </c>
      <c r="K4" s="1285" t="s">
        <v>90</v>
      </c>
      <c r="L4" s="1263"/>
      <c r="M4" s="1263"/>
      <c r="N4" s="1264" t="s">
        <v>90</v>
      </c>
      <c r="O4" s="1268" t="s">
        <v>5</v>
      </c>
      <c r="P4" s="1268" t="s">
        <v>4475</v>
      </c>
      <c r="Q4" s="1278" t="s">
        <v>91</v>
      </c>
      <c r="R4" s="1260" t="s">
        <v>113</v>
      </c>
      <c r="S4" s="1261"/>
      <c r="T4" s="1262"/>
      <c r="U4" s="1268" t="s">
        <v>115</v>
      </c>
      <c r="V4" s="1289" t="s">
        <v>7</v>
      </c>
    </row>
    <row r="5" spans="1:24" ht="24.95" customHeight="1">
      <c r="A5" s="1255"/>
      <c r="B5" s="1256"/>
      <c r="C5" s="1277"/>
      <c r="D5" s="1269"/>
      <c r="E5" s="1296"/>
      <c r="F5" s="1023" t="s">
        <v>4557</v>
      </c>
      <c r="G5" s="1099" t="s">
        <v>4558</v>
      </c>
      <c r="H5" s="1293"/>
      <c r="I5" s="1271"/>
      <c r="J5" s="1259"/>
      <c r="K5" s="1100" t="s">
        <v>8</v>
      </c>
      <c r="L5" s="1100" t="s">
        <v>9</v>
      </c>
      <c r="M5" s="1100" t="s">
        <v>10</v>
      </c>
      <c r="N5" s="1291"/>
      <c r="O5" s="1277"/>
      <c r="P5" s="1277"/>
      <c r="Q5" s="1279"/>
      <c r="R5" s="1106" t="s">
        <v>2818</v>
      </c>
      <c r="S5" s="1106" t="s">
        <v>148</v>
      </c>
      <c r="T5" s="1106" t="s">
        <v>149</v>
      </c>
      <c r="U5" s="1277"/>
      <c r="V5" s="1290"/>
      <c r="W5" s="566">
        <v>2013</v>
      </c>
      <c r="X5" s="567">
        <v>2012</v>
      </c>
    </row>
    <row r="6" spans="1:24">
      <c r="B6" s="81"/>
      <c r="C6" s="81"/>
      <c r="D6" s="218"/>
      <c r="E6" s="682"/>
      <c r="F6" s="682"/>
      <c r="G6" s="568"/>
      <c r="H6" s="48"/>
      <c r="I6" s="51"/>
      <c r="J6" s="206"/>
      <c r="K6" s="218"/>
      <c r="L6" s="218"/>
      <c r="M6" s="218"/>
      <c r="N6" s="218"/>
      <c r="O6" s="52"/>
      <c r="P6" s="52"/>
      <c r="Q6" s="52"/>
      <c r="R6" s="52"/>
      <c r="S6" s="52"/>
      <c r="T6" s="881"/>
      <c r="U6" s="52"/>
      <c r="V6" s="47"/>
    </row>
    <row r="7" spans="1:24">
      <c r="B7" s="222" t="s">
        <v>2786</v>
      </c>
      <c r="C7" s="81"/>
      <c r="D7" s="218"/>
      <c r="E7" s="682"/>
      <c r="F7" s="682"/>
      <c r="G7" s="568"/>
      <c r="H7" s="48"/>
      <c r="I7" s="51"/>
      <c r="J7" s="206"/>
      <c r="K7" s="218"/>
      <c r="L7" s="218"/>
      <c r="M7" s="218"/>
      <c r="N7" s="218"/>
      <c r="O7" s="52"/>
      <c r="P7" s="52"/>
      <c r="Q7" s="52"/>
      <c r="R7" s="52"/>
      <c r="S7" s="52"/>
      <c r="T7" s="881"/>
      <c r="U7" s="52"/>
      <c r="V7" s="47"/>
    </row>
    <row r="8" spans="1:24">
      <c r="B8" s="81"/>
      <c r="C8" s="81"/>
      <c r="D8" s="218"/>
      <c r="E8" s="682"/>
      <c r="F8" s="682"/>
      <c r="G8" s="568"/>
      <c r="H8" s="48"/>
      <c r="I8" s="51"/>
      <c r="J8" s="206"/>
      <c r="K8" s="218"/>
      <c r="L8" s="218"/>
      <c r="M8" s="218"/>
      <c r="N8" s="218"/>
      <c r="O8" s="52"/>
      <c r="P8" s="52"/>
      <c r="Q8" s="52"/>
      <c r="R8" s="52"/>
      <c r="S8" s="52"/>
      <c r="T8" s="881"/>
      <c r="U8" s="52"/>
      <c r="V8" s="47"/>
    </row>
    <row r="9" spans="1:24" ht="18.75" customHeight="1">
      <c r="C9" s="187"/>
      <c r="D9" s="218"/>
      <c r="E9" s="682"/>
      <c r="F9" s="682"/>
      <c r="G9" s="568"/>
      <c r="H9" s="48"/>
      <c r="I9" s="51"/>
      <c r="J9" s="206"/>
      <c r="K9" s="218"/>
      <c r="L9" s="218"/>
      <c r="M9" s="218"/>
      <c r="N9" s="218"/>
      <c r="O9" s="52"/>
      <c r="P9" s="52"/>
      <c r="Q9" s="52"/>
      <c r="R9" s="52"/>
      <c r="S9" s="52"/>
      <c r="T9" s="881"/>
      <c r="U9" s="52"/>
      <c r="V9" s="47"/>
    </row>
    <row r="10" spans="1:24">
      <c r="A10" s="761" t="s">
        <v>4886</v>
      </c>
      <c r="B10" s="35" t="s">
        <v>4885</v>
      </c>
      <c r="C10" s="569"/>
      <c r="J10" s="332">
        <v>180000</v>
      </c>
      <c r="K10" s="570">
        <f>SUM(K12:K13)</f>
        <v>0</v>
      </c>
      <c r="L10" s="570">
        <f t="shared" ref="L10:M10" si="0">SUM(L12:L13)</f>
        <v>48500</v>
      </c>
      <c r="M10" s="570">
        <f t="shared" si="0"/>
        <v>9220</v>
      </c>
      <c r="N10" s="570">
        <f>N11</f>
        <v>57720</v>
      </c>
      <c r="R10" s="570">
        <f t="shared" ref="R10:S10" si="1">R11</f>
        <v>53164</v>
      </c>
      <c r="S10" s="570">
        <f t="shared" si="1"/>
        <v>55288</v>
      </c>
    </row>
    <row r="11" spans="1:24">
      <c r="A11" s="761"/>
      <c r="B11" s="1197" t="s">
        <v>2787</v>
      </c>
      <c r="C11" s="569"/>
      <c r="J11" s="332"/>
      <c r="K11" s="762"/>
      <c r="L11" s="762"/>
      <c r="M11" s="762"/>
      <c r="N11" s="763">
        <f>SUM(N12:N13)</f>
        <v>57720</v>
      </c>
      <c r="R11" s="763">
        <f t="shared" ref="R11:S11" si="2">SUM(R12:R13)</f>
        <v>53164</v>
      </c>
      <c r="S11" s="763">
        <f t="shared" si="2"/>
        <v>55288</v>
      </c>
    </row>
    <row r="12" spans="1:24" s="118" customFormat="1" ht="30">
      <c r="B12" s="227" t="s">
        <v>2788</v>
      </c>
      <c r="C12" s="227"/>
      <c r="D12" s="153" t="s">
        <v>2789</v>
      </c>
      <c r="E12" s="683">
        <v>41334</v>
      </c>
      <c r="F12" s="683" t="s">
        <v>622</v>
      </c>
      <c r="G12" s="98" t="s">
        <v>4964</v>
      </c>
      <c r="H12" s="185"/>
      <c r="I12" s="184">
        <v>637868</v>
      </c>
      <c r="J12" s="243"/>
      <c r="K12" s="886"/>
      <c r="L12" s="186">
        <v>8500</v>
      </c>
      <c r="M12" s="203">
        <v>5220</v>
      </c>
      <c r="N12" s="203">
        <f t="shared" ref="N12:N13" si="3">SUM(K12:M12)</f>
        <v>13720</v>
      </c>
      <c r="O12" s="184">
        <f>N12+I12</f>
        <v>651588</v>
      </c>
      <c r="P12" s="230" t="s">
        <v>110</v>
      </c>
      <c r="Q12" s="151" t="s">
        <v>105</v>
      </c>
      <c r="R12" s="244">
        <v>9164</v>
      </c>
      <c r="S12" s="244">
        <v>11288</v>
      </c>
      <c r="T12" s="578" t="s">
        <v>6103</v>
      </c>
      <c r="U12" s="151" t="s">
        <v>2790</v>
      </c>
      <c r="V12" s="118" t="s">
        <v>2791</v>
      </c>
      <c r="W12" s="1237">
        <v>1</v>
      </c>
      <c r="X12" s="1238"/>
    </row>
    <row r="13" spans="1:24" s="118" customFormat="1" ht="45">
      <c r="B13" s="227" t="s">
        <v>2792</v>
      </c>
      <c r="C13" s="227"/>
      <c r="D13" s="153" t="s">
        <v>2793</v>
      </c>
      <c r="E13" s="683">
        <v>41446</v>
      </c>
      <c r="F13" s="683" t="s">
        <v>851</v>
      </c>
      <c r="G13" s="98" t="s">
        <v>5717</v>
      </c>
      <c r="H13" s="185"/>
      <c r="I13" s="184">
        <v>23300</v>
      </c>
      <c r="J13" s="243"/>
      <c r="K13" s="886"/>
      <c r="L13" s="186">
        <v>40000</v>
      </c>
      <c r="M13" s="186">
        <v>4000</v>
      </c>
      <c r="N13" s="203">
        <f t="shared" si="3"/>
        <v>44000</v>
      </c>
      <c r="O13" s="184">
        <f>N13+I13</f>
        <v>67300</v>
      </c>
      <c r="P13" s="230" t="s">
        <v>110</v>
      </c>
      <c r="Q13" s="151" t="s">
        <v>105</v>
      </c>
      <c r="R13" s="244">
        <v>44000</v>
      </c>
      <c r="S13" s="244">
        <v>44000</v>
      </c>
      <c r="T13" s="578" t="s">
        <v>6104</v>
      </c>
      <c r="U13" s="151" t="s">
        <v>2790</v>
      </c>
      <c r="V13" s="118" t="s">
        <v>2794</v>
      </c>
      <c r="W13" s="1237">
        <v>1</v>
      </c>
      <c r="X13" s="1238"/>
    </row>
    <row r="14" spans="1:24">
      <c r="B14" s="81"/>
      <c r="C14" s="81"/>
      <c r="Q14" s="152"/>
    </row>
    <row r="15" spans="1:24">
      <c r="B15" s="571"/>
      <c r="C15" s="571"/>
      <c r="Q15" s="152"/>
    </row>
    <row r="16" spans="1:24" s="3" customFormat="1">
      <c r="A16" s="761" t="s">
        <v>4888</v>
      </c>
      <c r="B16" s="760" t="s">
        <v>4887</v>
      </c>
      <c r="C16" s="187"/>
      <c r="D16" s="118"/>
      <c r="E16" s="1239"/>
      <c r="F16" s="1240"/>
      <c r="G16" s="118"/>
      <c r="H16" s="118"/>
      <c r="I16" s="1241"/>
      <c r="J16" s="1242"/>
      <c r="K16" s="1020">
        <f>SUM(K18)</f>
        <v>0</v>
      </c>
      <c r="L16" s="1020">
        <f t="shared" ref="L16:M16" si="4">SUM(L18)</f>
        <v>0</v>
      </c>
      <c r="M16" s="1020">
        <f t="shared" si="4"/>
        <v>46712.65</v>
      </c>
      <c r="N16" s="1020">
        <f>N17</f>
        <v>46712.65</v>
      </c>
      <c r="O16" s="1241"/>
      <c r="P16" s="1243"/>
      <c r="Q16" s="151"/>
      <c r="R16" s="1020">
        <f t="shared" ref="R16:S16" si="5">R17</f>
        <v>46713</v>
      </c>
      <c r="S16" s="1020">
        <f t="shared" si="5"/>
        <v>46713</v>
      </c>
      <c r="T16" s="1021"/>
      <c r="U16" s="117"/>
      <c r="V16" s="118"/>
      <c r="W16" s="1244"/>
      <c r="X16" s="1245"/>
    </row>
    <row r="17" spans="1:25" s="3" customFormat="1">
      <c r="B17" s="1197" t="s">
        <v>2795</v>
      </c>
      <c r="C17" s="187"/>
      <c r="D17" s="118"/>
      <c r="E17" s="1239"/>
      <c r="F17" s="1240"/>
      <c r="G17" s="118"/>
      <c r="H17" s="118"/>
      <c r="I17" s="1241"/>
      <c r="J17" s="1242"/>
      <c r="K17" s="1241"/>
      <c r="L17" s="1241"/>
      <c r="M17" s="1241"/>
      <c r="N17" s="1022">
        <f>SUM(N18)</f>
        <v>46712.65</v>
      </c>
      <c r="O17" s="1241"/>
      <c r="P17" s="1243"/>
      <c r="Q17" s="151"/>
      <c r="R17" s="1022">
        <f t="shared" ref="R17:S17" si="6">SUM(R18)</f>
        <v>46713</v>
      </c>
      <c r="S17" s="1022">
        <f t="shared" si="6"/>
        <v>46713</v>
      </c>
      <c r="T17" s="1021"/>
      <c r="U17" s="117"/>
      <c r="V17" s="118"/>
      <c r="W17" s="1244"/>
      <c r="X17" s="1245"/>
    </row>
    <row r="18" spans="1:25" s="3" customFormat="1" ht="190.5" customHeight="1">
      <c r="C18" s="227"/>
      <c r="D18" s="182" t="s">
        <v>2796</v>
      </c>
      <c r="E18" s="683">
        <v>41197</v>
      </c>
      <c r="F18" s="153" t="s">
        <v>6569</v>
      </c>
      <c r="G18" s="185" t="s">
        <v>6570</v>
      </c>
      <c r="H18" s="185"/>
      <c r="I18" s="184">
        <v>206324</v>
      </c>
      <c r="J18" s="243">
        <v>46713</v>
      </c>
      <c r="K18" s="186"/>
      <c r="L18" s="203"/>
      <c r="M18" s="572">
        <v>46712.65</v>
      </c>
      <c r="N18" s="186">
        <f>SUM(K18:M18)</f>
        <v>46712.65</v>
      </c>
      <c r="O18" s="184">
        <f>N18+I18</f>
        <v>253036.65</v>
      </c>
      <c r="P18" s="230" t="s">
        <v>110</v>
      </c>
      <c r="Q18" s="151" t="s">
        <v>105</v>
      </c>
      <c r="R18" s="244">
        <f>14793+31920</f>
        <v>46713</v>
      </c>
      <c r="S18" s="244">
        <f>14793+31920</f>
        <v>46713</v>
      </c>
      <c r="T18" s="420" t="s">
        <v>6053</v>
      </c>
      <c r="U18" s="1137" t="s">
        <v>2790</v>
      </c>
      <c r="V18" s="118" t="s">
        <v>501</v>
      </c>
      <c r="W18" s="1244"/>
      <c r="X18" s="1245">
        <v>1</v>
      </c>
      <c r="Y18" s="3" t="s">
        <v>2797</v>
      </c>
    </row>
    <row r="19" spans="1:25">
      <c r="E19" s="683"/>
      <c r="F19" s="683"/>
      <c r="Q19" s="152"/>
    </row>
    <row r="20" spans="1:25" s="16" customFormat="1">
      <c r="A20" s="761" t="s">
        <v>4890</v>
      </c>
      <c r="B20" s="760" t="s">
        <v>4889</v>
      </c>
      <c r="C20" s="4"/>
      <c r="D20" s="1137"/>
      <c r="E20" s="683"/>
      <c r="F20" s="683"/>
      <c r="G20" s="12"/>
      <c r="H20" s="14"/>
      <c r="I20" s="10"/>
      <c r="J20" s="93"/>
      <c r="K20" s="7">
        <f>SUM(K22)</f>
        <v>0</v>
      </c>
      <c r="L20" s="7">
        <f>SUM(L22)</f>
        <v>0</v>
      </c>
      <c r="M20" s="7">
        <f>SUM(M22)</f>
        <v>100000</v>
      </c>
      <c r="N20" s="7">
        <f>N21</f>
        <v>100000</v>
      </c>
      <c r="O20" s="6"/>
      <c r="P20" s="117"/>
      <c r="Q20" s="1137"/>
      <c r="R20" s="7">
        <f t="shared" ref="R20:S20" si="7">R21</f>
        <v>100000</v>
      </c>
      <c r="S20" s="7">
        <f t="shared" si="7"/>
        <v>95290</v>
      </c>
      <c r="T20" s="339"/>
      <c r="U20" s="1137"/>
      <c r="V20" s="14"/>
      <c r="W20" s="573"/>
      <c r="X20" s="574"/>
    </row>
    <row r="21" spans="1:25" s="16" customFormat="1">
      <c r="B21" s="1197" t="s">
        <v>2798</v>
      </c>
      <c r="C21" s="4"/>
      <c r="D21" s="1137"/>
      <c r="E21" s="683"/>
      <c r="F21" s="683"/>
      <c r="G21" s="12"/>
      <c r="H21" s="14"/>
      <c r="I21" s="10"/>
      <c r="J21" s="93"/>
      <c r="K21" s="6"/>
      <c r="L21" s="6"/>
      <c r="M21" s="6"/>
      <c r="N21" s="400">
        <f>SUM(N22)</f>
        <v>100000</v>
      </c>
      <c r="O21" s="6"/>
      <c r="P21" s="117"/>
      <c r="Q21" s="1137"/>
      <c r="R21" s="400">
        <f t="shared" ref="R21:S21" si="8">SUM(R22)</f>
        <v>100000</v>
      </c>
      <c r="S21" s="400">
        <f t="shared" si="8"/>
        <v>95290</v>
      </c>
      <c r="T21" s="339"/>
      <c r="U21" s="1137"/>
      <c r="V21" s="14"/>
      <c r="W21" s="573"/>
      <c r="X21" s="574"/>
    </row>
    <row r="22" spans="1:25" s="16" customFormat="1" ht="60">
      <c r="C22" s="227"/>
      <c r="D22" s="182" t="s">
        <v>2799</v>
      </c>
      <c r="E22" s="683">
        <v>41191</v>
      </c>
      <c r="F22" s="683" t="s">
        <v>5278</v>
      </c>
      <c r="G22" s="98" t="s">
        <v>5718</v>
      </c>
      <c r="H22" s="228"/>
      <c r="I22" s="10">
        <v>231891</v>
      </c>
      <c r="J22" s="6">
        <v>100000</v>
      </c>
      <c r="K22" s="6"/>
      <c r="L22" s="186"/>
      <c r="M22" s="10">
        <v>100000</v>
      </c>
      <c r="N22" s="10">
        <f>SUM(L22:M22)</f>
        <v>100000</v>
      </c>
      <c r="O22" s="6">
        <f>N22+I22</f>
        <v>331891</v>
      </c>
      <c r="P22" s="230" t="s">
        <v>110</v>
      </c>
      <c r="Q22" s="151" t="s">
        <v>105</v>
      </c>
      <c r="R22" s="244">
        <v>100000</v>
      </c>
      <c r="S22" s="244">
        <v>95290</v>
      </c>
      <c r="T22" s="578" t="s">
        <v>4811</v>
      </c>
      <c r="U22" s="1137" t="s">
        <v>2790</v>
      </c>
      <c r="V22" s="14" t="s">
        <v>2800</v>
      </c>
      <c r="W22" s="573"/>
      <c r="X22" s="574">
        <v>1</v>
      </c>
    </row>
    <row r="23" spans="1:25" s="16" customFormat="1">
      <c r="B23" s="228"/>
      <c r="C23" s="228"/>
      <c r="D23" s="14"/>
      <c r="E23" s="683"/>
      <c r="F23" s="683"/>
      <c r="I23" s="76"/>
      <c r="J23" s="575"/>
      <c r="K23" s="14"/>
      <c r="L23" s="14"/>
      <c r="M23" s="14"/>
      <c r="N23" s="10"/>
      <c r="O23" s="14"/>
      <c r="P23" s="1137"/>
      <c r="Q23" s="1137"/>
      <c r="R23" s="1140"/>
      <c r="S23" s="1140"/>
      <c r="T23" s="4"/>
      <c r="U23" s="1137"/>
      <c r="V23" s="14"/>
      <c r="W23" s="573"/>
      <c r="X23" s="574"/>
    </row>
    <row r="24" spans="1:25">
      <c r="A24" s="761" t="s">
        <v>4892</v>
      </c>
      <c r="B24" s="760" t="s">
        <v>4891</v>
      </c>
      <c r="C24" s="187"/>
      <c r="E24" s="683"/>
      <c r="F24" s="683"/>
      <c r="K24" s="7">
        <f>SUM(K26)</f>
        <v>0</v>
      </c>
      <c r="L24" s="7">
        <f t="shared" ref="L24:M24" si="9">SUM(L26)</f>
        <v>0</v>
      </c>
      <c r="M24" s="7">
        <f t="shared" si="9"/>
        <v>128210</v>
      </c>
      <c r="N24" s="7">
        <f>N25</f>
        <v>128210</v>
      </c>
      <c r="Q24" s="152"/>
      <c r="R24" s="7">
        <f t="shared" ref="R24:S24" si="10">R25</f>
        <v>125603</v>
      </c>
      <c r="S24" s="7">
        <f t="shared" si="10"/>
        <v>74921</v>
      </c>
    </row>
    <row r="25" spans="1:25">
      <c r="B25" s="1197" t="s">
        <v>1245</v>
      </c>
      <c r="C25" s="187"/>
      <c r="E25" s="683"/>
      <c r="F25" s="683"/>
      <c r="K25" s="6"/>
      <c r="L25" s="6"/>
      <c r="M25" s="6"/>
      <c r="N25" s="400">
        <f>SUM(N26)</f>
        <v>128210</v>
      </c>
      <c r="Q25" s="152"/>
      <c r="R25" s="400">
        <f t="shared" ref="R25:S25" si="11">SUM(R26)</f>
        <v>125603</v>
      </c>
      <c r="S25" s="400">
        <f t="shared" si="11"/>
        <v>74921</v>
      </c>
    </row>
    <row r="26" spans="1:25" s="16" customFormat="1" ht="60">
      <c r="C26" s="227"/>
      <c r="D26" s="182" t="s">
        <v>2801</v>
      </c>
      <c r="E26" s="683">
        <v>41191</v>
      </c>
      <c r="F26" s="683" t="s">
        <v>851</v>
      </c>
      <c r="G26" s="98" t="s">
        <v>5719</v>
      </c>
      <c r="H26" s="228"/>
      <c r="I26" s="67">
        <v>100000</v>
      </c>
      <c r="J26" s="93">
        <v>128210</v>
      </c>
      <c r="K26" s="6"/>
      <c r="L26" s="186"/>
      <c r="M26" s="10">
        <v>128210</v>
      </c>
      <c r="N26" s="10">
        <f>SUM(L26:M26)</f>
        <v>128210</v>
      </c>
      <c r="O26" s="10">
        <f>N26+I26</f>
        <v>228210</v>
      </c>
      <c r="P26" s="230" t="s">
        <v>110</v>
      </c>
      <c r="Q26" s="151" t="s">
        <v>105</v>
      </c>
      <c r="R26" s="244">
        <v>125603</v>
      </c>
      <c r="S26" s="244">
        <v>74921</v>
      </c>
      <c r="T26" s="578" t="s">
        <v>4812</v>
      </c>
      <c r="U26" s="1137" t="s">
        <v>2790</v>
      </c>
      <c r="V26" s="14" t="s">
        <v>2802</v>
      </c>
      <c r="W26" s="573"/>
      <c r="X26" s="574">
        <v>1</v>
      </c>
    </row>
    <row r="27" spans="1:25" s="16" customFormat="1" ht="15" customHeight="1">
      <c r="B27" s="98"/>
      <c r="C27" s="98"/>
      <c r="D27" s="182"/>
      <c r="E27" s="683"/>
      <c r="F27" s="683"/>
      <c r="G27" s="98"/>
      <c r="H27" s="228"/>
      <c r="I27" s="67"/>
      <c r="J27" s="93"/>
      <c r="K27" s="6"/>
      <c r="L27" s="186"/>
      <c r="M27" s="6"/>
      <c r="N27" s="10"/>
      <c r="O27" s="10"/>
      <c r="P27" s="230"/>
      <c r="Q27" s="1137"/>
      <c r="R27" s="244"/>
      <c r="S27" s="244"/>
      <c r="T27" s="578"/>
      <c r="U27" s="1137"/>
      <c r="V27" s="14"/>
      <c r="W27" s="573"/>
      <c r="X27" s="574"/>
    </row>
    <row r="28" spans="1:25">
      <c r="A28" s="761" t="s">
        <v>4894</v>
      </c>
      <c r="B28" s="760" t="s">
        <v>4893</v>
      </c>
      <c r="C28" s="187"/>
      <c r="E28" s="683"/>
      <c r="F28" s="683"/>
      <c r="K28" s="7">
        <f>SUM(K30)</f>
        <v>0</v>
      </c>
      <c r="L28" s="7">
        <f t="shared" ref="L28:M28" si="12">SUM(L30)</f>
        <v>0</v>
      </c>
      <c r="M28" s="7">
        <f t="shared" si="12"/>
        <v>20000</v>
      </c>
      <c r="N28" s="7">
        <f>N29</f>
        <v>20000</v>
      </c>
      <c r="Q28" s="152"/>
      <c r="R28" s="7">
        <f t="shared" ref="R28:S28" si="13">R29</f>
        <v>19322</v>
      </c>
      <c r="S28" s="7">
        <f t="shared" si="13"/>
        <v>3000</v>
      </c>
    </row>
    <row r="29" spans="1:25">
      <c r="B29" s="1197" t="s">
        <v>2803</v>
      </c>
      <c r="C29" s="187"/>
      <c r="E29" s="683"/>
      <c r="F29" s="683"/>
      <c r="K29" s="6"/>
      <c r="L29" s="6"/>
      <c r="M29" s="6"/>
      <c r="N29" s="400">
        <f>SUM(N30)</f>
        <v>20000</v>
      </c>
      <c r="Q29" s="152"/>
      <c r="R29" s="400">
        <f t="shared" ref="R29:S29" si="14">SUM(R30)</f>
        <v>19322</v>
      </c>
      <c r="S29" s="400">
        <f t="shared" si="14"/>
        <v>3000</v>
      </c>
    </row>
    <row r="30" spans="1:25" s="16" customFormat="1" ht="60">
      <c r="B30" s="1197"/>
      <c r="C30" s="227"/>
      <c r="D30" s="182" t="s">
        <v>2804</v>
      </c>
      <c r="E30" s="683">
        <v>41191</v>
      </c>
      <c r="F30" s="683" t="s">
        <v>4963</v>
      </c>
      <c r="G30" s="181" t="s">
        <v>5720</v>
      </c>
      <c r="H30" s="228"/>
      <c r="I30" s="67">
        <v>4406629</v>
      </c>
      <c r="J30" s="93">
        <v>20000</v>
      </c>
      <c r="K30" s="6"/>
      <c r="L30" s="186"/>
      <c r="M30" s="10">
        <v>20000</v>
      </c>
      <c r="N30" s="10">
        <f>SUM(L30:M30)</f>
        <v>20000</v>
      </c>
      <c r="O30" s="6">
        <f>N30+I30</f>
        <v>4426629</v>
      </c>
      <c r="P30" s="230" t="s">
        <v>110</v>
      </c>
      <c r="Q30" s="151" t="s">
        <v>105</v>
      </c>
      <c r="R30" s="244">
        <v>19322</v>
      </c>
      <c r="S30" s="244">
        <v>3000</v>
      </c>
      <c r="T30" s="578" t="s">
        <v>4813</v>
      </c>
      <c r="U30" s="1137" t="s">
        <v>2790</v>
      </c>
      <c r="V30" s="14" t="s">
        <v>2805</v>
      </c>
      <c r="W30" s="573"/>
      <c r="X30" s="574">
        <v>1</v>
      </c>
    </row>
    <row r="31" spans="1:25">
      <c r="E31" s="683"/>
      <c r="F31" s="683"/>
      <c r="Q31" s="152"/>
    </row>
    <row r="32" spans="1:25" s="71" customFormat="1">
      <c r="A32" s="761" t="s">
        <v>4896</v>
      </c>
      <c r="B32" s="35" t="s">
        <v>4895</v>
      </c>
      <c r="C32" s="4"/>
      <c r="D32" s="182"/>
      <c r="E32" s="683"/>
      <c r="F32" s="683"/>
      <c r="G32" s="181"/>
      <c r="H32" s="228"/>
      <c r="I32" s="76"/>
      <c r="J32" s="575"/>
      <c r="K32" s="7">
        <f>SUM(K34)</f>
        <v>0</v>
      </c>
      <c r="L32" s="7">
        <f t="shared" ref="L32:M32" si="15">SUM(L34)</f>
        <v>0</v>
      </c>
      <c r="M32" s="7">
        <f t="shared" si="15"/>
        <v>27470</v>
      </c>
      <c r="N32" s="221">
        <f>N33</f>
        <v>27470</v>
      </c>
      <c r="O32" s="68"/>
      <c r="P32" s="224"/>
      <c r="Q32" s="23"/>
      <c r="R32" s="221">
        <f t="shared" ref="R32:S32" si="16">R33</f>
        <v>27470</v>
      </c>
      <c r="S32" s="221">
        <f t="shared" si="16"/>
        <v>27470</v>
      </c>
      <c r="T32" s="343"/>
      <c r="U32" s="37"/>
      <c r="V32" s="22"/>
      <c r="W32" s="576"/>
      <c r="X32" s="577"/>
    </row>
    <row r="33" spans="1:24" s="71" customFormat="1" ht="18" customHeight="1">
      <c r="B33" s="4" t="s">
        <v>2798</v>
      </c>
      <c r="C33" s="4"/>
      <c r="D33" s="182"/>
      <c r="E33" s="683"/>
      <c r="F33" s="683"/>
      <c r="G33" s="181"/>
      <c r="H33" s="228"/>
      <c r="I33" s="76"/>
      <c r="J33" s="575"/>
      <c r="K33" s="6"/>
      <c r="L33" s="6"/>
      <c r="M33" s="6"/>
      <c r="N33" s="400">
        <f>SUM(N34)</f>
        <v>27470</v>
      </c>
      <c r="O33" s="68"/>
      <c r="P33" s="224"/>
      <c r="Q33" s="23"/>
      <c r="R33" s="400">
        <f t="shared" ref="R33:S33" si="17">SUM(R34)</f>
        <v>27470</v>
      </c>
      <c r="S33" s="400">
        <f t="shared" si="17"/>
        <v>27470</v>
      </c>
      <c r="T33" s="343"/>
      <c r="U33" s="37"/>
      <c r="V33" s="22"/>
      <c r="W33" s="576"/>
      <c r="X33" s="577"/>
    </row>
    <row r="34" spans="1:24" s="71" customFormat="1" ht="60">
      <c r="C34" s="245"/>
      <c r="D34" s="182" t="s">
        <v>2806</v>
      </c>
      <c r="E34" s="683">
        <v>41191</v>
      </c>
      <c r="F34" s="683" t="s">
        <v>5278</v>
      </c>
      <c r="G34" s="98" t="s">
        <v>5718</v>
      </c>
      <c r="H34" s="228"/>
      <c r="I34" s="10">
        <v>231891</v>
      </c>
      <c r="J34" s="6">
        <v>27470</v>
      </c>
      <c r="K34" s="37"/>
      <c r="L34" s="186"/>
      <c r="M34" s="186">
        <v>27470</v>
      </c>
      <c r="N34" s="10">
        <f>SUM(L34:M34)</f>
        <v>27470</v>
      </c>
      <c r="O34" s="6">
        <f>N34+I34</f>
        <v>259361</v>
      </c>
      <c r="P34" s="230" t="s">
        <v>110</v>
      </c>
      <c r="Q34" s="151" t="s">
        <v>105</v>
      </c>
      <c r="R34" s="244">
        <v>27470</v>
      </c>
      <c r="S34" s="244">
        <v>27470</v>
      </c>
      <c r="T34" s="578" t="s">
        <v>4814</v>
      </c>
      <c r="U34" s="224" t="s">
        <v>2790</v>
      </c>
      <c r="V34" s="14" t="s">
        <v>2800</v>
      </c>
      <c r="W34" s="576"/>
      <c r="X34" s="577">
        <v>1</v>
      </c>
    </row>
    <row r="35" spans="1:24" s="71" customFormat="1">
      <c r="B35" s="245"/>
      <c r="C35" s="245"/>
      <c r="D35" s="182"/>
      <c r="E35" s="683"/>
      <c r="F35" s="683"/>
      <c r="G35" s="181"/>
      <c r="H35" s="228"/>
      <c r="I35" s="10"/>
      <c r="J35" s="6"/>
      <c r="K35" s="37"/>
      <c r="L35" s="186"/>
      <c r="M35" s="68"/>
      <c r="N35" s="10"/>
      <c r="O35" s="6"/>
      <c r="P35" s="117"/>
      <c r="Q35" s="1137"/>
      <c r="R35" s="117"/>
      <c r="S35" s="117"/>
      <c r="T35" s="339"/>
      <c r="U35" s="224"/>
      <c r="V35" s="14"/>
      <c r="W35" s="576"/>
      <c r="X35" s="577"/>
    </row>
    <row r="36" spans="1:24" s="71" customFormat="1">
      <c r="A36" s="761" t="s">
        <v>4898</v>
      </c>
      <c r="B36" s="35" t="s">
        <v>4897</v>
      </c>
      <c r="C36" s="363"/>
      <c r="D36" s="182"/>
      <c r="E36" s="683"/>
      <c r="F36" s="683"/>
      <c r="G36" s="181"/>
      <c r="H36" s="228"/>
      <c r="I36" s="10"/>
      <c r="J36" s="6"/>
      <c r="K36" s="7">
        <f>SUM(K38:K40)</f>
        <v>0</v>
      </c>
      <c r="L36" s="7">
        <f t="shared" ref="L36:M36" si="18">SUM(L38:L40)</f>
        <v>154760</v>
      </c>
      <c r="M36" s="7">
        <f t="shared" si="18"/>
        <v>45500</v>
      </c>
      <c r="N36" s="221">
        <f>N37</f>
        <v>200260</v>
      </c>
      <c r="O36" s="6"/>
      <c r="P36" s="117"/>
      <c r="Q36" s="1137"/>
      <c r="R36" s="221">
        <f t="shared" ref="R36:S36" si="19">R37</f>
        <v>200260</v>
      </c>
      <c r="S36" s="221">
        <f t="shared" si="19"/>
        <v>200260</v>
      </c>
      <c r="T36" s="339"/>
      <c r="U36" s="224"/>
      <c r="V36" s="14"/>
      <c r="W36" s="576"/>
      <c r="X36" s="577"/>
    </row>
    <row r="37" spans="1:24" s="71" customFormat="1">
      <c r="B37" s="4" t="s">
        <v>2795</v>
      </c>
      <c r="C37" s="363"/>
      <c r="D37" s="182"/>
      <c r="E37" s="683"/>
      <c r="F37" s="683"/>
      <c r="G37" s="181"/>
      <c r="H37" s="228"/>
      <c r="I37" s="10"/>
      <c r="J37" s="6"/>
      <c r="K37" s="6"/>
      <c r="L37" s="6"/>
      <c r="M37" s="6"/>
      <c r="N37" s="400">
        <f>SUM(N38)</f>
        <v>200260</v>
      </c>
      <c r="O37" s="6"/>
      <c r="P37" s="117"/>
      <c r="Q37" s="1137"/>
      <c r="R37" s="400">
        <f t="shared" ref="R37:S37" si="20">SUM(R38)</f>
        <v>200260</v>
      </c>
      <c r="S37" s="400">
        <f t="shared" si="20"/>
        <v>200260</v>
      </c>
      <c r="T37" s="339"/>
      <c r="U37" s="224"/>
      <c r="V37" s="14"/>
      <c r="W37" s="576"/>
      <c r="X37" s="577"/>
    </row>
    <row r="38" spans="1:24" s="3" customFormat="1" ht="396.75" customHeight="1">
      <c r="C38" s="1246"/>
      <c r="D38" s="153" t="s">
        <v>2807</v>
      </c>
      <c r="E38" s="683">
        <v>41197</v>
      </c>
      <c r="F38" s="683" t="s">
        <v>4965</v>
      </c>
      <c r="G38" s="98" t="s">
        <v>4987</v>
      </c>
      <c r="H38" s="305"/>
      <c r="I38" s="578">
        <v>139224</v>
      </c>
      <c r="J38" s="579">
        <v>200260</v>
      </c>
      <c r="K38" s="186"/>
      <c r="L38" s="186">
        <v>154760</v>
      </c>
      <c r="M38" s="203">
        <v>45500</v>
      </c>
      <c r="N38" s="572">
        <f>SUM(K38:M38)</f>
        <v>200260</v>
      </c>
      <c r="O38" s="578">
        <f>N38+I38</f>
        <v>339484</v>
      </c>
      <c r="P38" s="230" t="s">
        <v>110</v>
      </c>
      <c r="Q38" s="151" t="s">
        <v>105</v>
      </c>
      <c r="R38" s="244">
        <v>200260</v>
      </c>
      <c r="S38" s="244">
        <v>200260</v>
      </c>
      <c r="T38" s="1049" t="s">
        <v>6052</v>
      </c>
      <c r="U38" s="1137" t="s">
        <v>2790</v>
      </c>
      <c r="V38" s="118" t="s">
        <v>2808</v>
      </c>
      <c r="W38" s="1244"/>
      <c r="X38" s="1245">
        <v>1</v>
      </c>
    </row>
    <row r="39" spans="1:24" s="3" customFormat="1">
      <c r="B39" s="1247"/>
      <c r="C39" s="1247"/>
      <c r="D39" s="153"/>
      <c r="E39" s="683"/>
      <c r="F39" s="683"/>
      <c r="G39" s="98"/>
      <c r="H39" s="305"/>
      <c r="I39" s="578"/>
      <c r="J39" s="579"/>
      <c r="K39" s="186"/>
      <c r="L39" s="186"/>
      <c r="M39" s="203"/>
      <c r="N39" s="572"/>
      <c r="O39" s="578"/>
      <c r="P39" s="244"/>
      <c r="Q39" s="151"/>
      <c r="R39" s="244"/>
      <c r="S39" s="244"/>
      <c r="T39" s="578"/>
      <c r="U39" s="1137"/>
      <c r="V39" s="118"/>
      <c r="W39" s="1244"/>
      <c r="X39" s="1245"/>
    </row>
    <row r="40" spans="1:24" s="3" customFormat="1">
      <c r="A40" s="972" t="s">
        <v>4900</v>
      </c>
      <c r="B40" s="973" t="s">
        <v>4899</v>
      </c>
      <c r="C40" s="1248"/>
      <c r="D40" s="980"/>
      <c r="E40" s="683"/>
      <c r="F40" s="683"/>
      <c r="G40" s="98"/>
      <c r="H40" s="305"/>
      <c r="I40" s="578"/>
      <c r="J40" s="579"/>
      <c r="K40" s="186"/>
      <c r="L40" s="186"/>
      <c r="M40" s="203"/>
      <c r="N40" s="572"/>
      <c r="O40" s="578"/>
      <c r="P40" s="244"/>
      <c r="Q40" s="151"/>
      <c r="R40" s="244"/>
      <c r="S40" s="244"/>
      <c r="T40" s="578"/>
      <c r="U40" s="1137"/>
      <c r="V40" s="118"/>
      <c r="W40" s="1244"/>
      <c r="X40" s="1245"/>
    </row>
    <row r="41" spans="1:24" s="3" customFormat="1">
      <c r="B41" s="1247"/>
      <c r="C41" s="1247"/>
      <c r="D41" s="153"/>
      <c r="E41" s="683"/>
      <c r="F41" s="683"/>
      <c r="G41" s="98"/>
      <c r="H41" s="305"/>
      <c r="I41" s="578"/>
      <c r="J41" s="579"/>
      <c r="K41" s="186"/>
      <c r="L41" s="186"/>
      <c r="M41" s="203"/>
      <c r="N41" s="572"/>
      <c r="O41" s="578"/>
      <c r="P41" s="244"/>
      <c r="Q41" s="151"/>
      <c r="R41" s="244"/>
      <c r="S41" s="244"/>
      <c r="T41" s="578"/>
      <c r="U41" s="1137"/>
      <c r="V41" s="118"/>
      <c r="W41" s="1244"/>
      <c r="X41" s="1245"/>
    </row>
    <row r="42" spans="1:24">
      <c r="A42" s="761" t="s">
        <v>4902</v>
      </c>
      <c r="B42" s="760" t="s">
        <v>4901</v>
      </c>
      <c r="C42" s="580"/>
      <c r="E42" s="683"/>
      <c r="F42" s="683"/>
      <c r="K42" s="7">
        <f>SUM(K44)</f>
        <v>0</v>
      </c>
      <c r="L42" s="7">
        <f t="shared" ref="L42:M42" si="21">SUM(L44)</f>
        <v>500000</v>
      </c>
      <c r="M42" s="7">
        <f t="shared" si="21"/>
        <v>0</v>
      </c>
      <c r="N42" s="7">
        <f>N43</f>
        <v>500000</v>
      </c>
      <c r="Q42" s="152"/>
      <c r="R42" s="7">
        <f t="shared" ref="R42:S42" si="22">R43</f>
        <v>0</v>
      </c>
      <c r="S42" s="7">
        <f t="shared" si="22"/>
        <v>482892</v>
      </c>
    </row>
    <row r="43" spans="1:24">
      <c r="B43" s="4" t="s">
        <v>894</v>
      </c>
      <c r="C43" s="580"/>
      <c r="E43" s="683"/>
      <c r="F43" s="683"/>
      <c r="K43" s="6"/>
      <c r="L43" s="6"/>
      <c r="M43" s="6"/>
      <c r="N43" s="400">
        <f>SUM(N44)</f>
        <v>500000</v>
      </c>
      <c r="Q43" s="152"/>
      <c r="R43" s="400">
        <f t="shared" ref="R43:S43" si="23">SUM(R44)</f>
        <v>0</v>
      </c>
      <c r="S43" s="400">
        <f t="shared" si="23"/>
        <v>482892</v>
      </c>
    </row>
    <row r="44" spans="1:24" s="118" customFormat="1" ht="30">
      <c r="C44" s="581"/>
      <c r="D44" s="182" t="s">
        <v>2809</v>
      </c>
      <c r="E44" s="683">
        <v>41166</v>
      </c>
      <c r="F44" s="683" t="s">
        <v>851</v>
      </c>
      <c r="G44" s="267" t="s">
        <v>5721</v>
      </c>
      <c r="H44" s="298"/>
      <c r="I44" s="268"/>
      <c r="J44" s="93">
        <v>500000</v>
      </c>
      <c r="L44" s="186">
        <v>500000</v>
      </c>
      <c r="M44" s="582"/>
      <c r="N44" s="572">
        <f t="shared" ref="N44" si="24">SUM(K44:M44)</f>
        <v>500000</v>
      </c>
      <c r="O44" s="184"/>
      <c r="P44" s="230" t="s">
        <v>110</v>
      </c>
      <c r="Q44" s="151" t="s">
        <v>105</v>
      </c>
      <c r="R44" s="244"/>
      <c r="S44" s="244">
        <v>482892</v>
      </c>
      <c r="T44" s="578" t="s">
        <v>6119</v>
      </c>
      <c r="U44" s="151" t="s">
        <v>2790</v>
      </c>
      <c r="V44" s="118" t="s">
        <v>234</v>
      </c>
      <c r="W44" s="1237"/>
      <c r="X44" s="1238">
        <v>1</v>
      </c>
    </row>
    <row r="45" spans="1:24">
      <c r="E45" s="683"/>
      <c r="F45" s="683"/>
      <c r="Q45" s="152"/>
    </row>
    <row r="46" spans="1:24" s="16" customFormat="1">
      <c r="A46" s="761" t="s">
        <v>4904</v>
      </c>
      <c r="B46" s="35" t="s">
        <v>4903</v>
      </c>
      <c r="C46" s="583"/>
      <c r="D46" s="308"/>
      <c r="E46" s="683"/>
      <c r="F46" s="683"/>
      <c r="G46" s="537"/>
      <c r="H46" s="538"/>
      <c r="I46" s="93"/>
      <c r="J46" s="93"/>
      <c r="K46" s="7">
        <f>SUM(K48)</f>
        <v>73004.350999999995</v>
      </c>
      <c r="L46" s="7">
        <f t="shared" ref="L46:M46" si="25">SUM(L48)</f>
        <v>52605.883999999998</v>
      </c>
      <c r="M46" s="7">
        <f t="shared" si="25"/>
        <v>216926.37</v>
      </c>
      <c r="N46" s="221">
        <f>N47</f>
        <v>342536.60499999998</v>
      </c>
      <c r="O46" s="6"/>
      <c r="P46" s="117"/>
      <c r="Q46" s="179"/>
      <c r="R46" s="221">
        <f t="shared" ref="R46:S46" si="26">R47</f>
        <v>0</v>
      </c>
      <c r="S46" s="221">
        <f t="shared" si="26"/>
        <v>0</v>
      </c>
      <c r="T46" s="339"/>
      <c r="W46" s="573"/>
      <c r="X46" s="574"/>
    </row>
    <row r="47" spans="1:24" s="16" customFormat="1">
      <c r="B47" s="4" t="s">
        <v>2810</v>
      </c>
      <c r="C47" s="583"/>
      <c r="D47" s="308"/>
      <c r="E47" s="683"/>
      <c r="F47" s="683"/>
      <c r="G47" s="537"/>
      <c r="H47" s="538"/>
      <c r="I47" s="93"/>
      <c r="J47" s="93"/>
      <c r="K47" s="6"/>
      <c r="L47" s="6"/>
      <c r="M47" s="6"/>
      <c r="N47" s="400">
        <f>SUM(N48)</f>
        <v>342536.60499999998</v>
      </c>
      <c r="O47" s="6"/>
      <c r="P47" s="117"/>
      <c r="Q47" s="179"/>
      <c r="R47" s="400">
        <f t="shared" ref="R47:S47" si="27">SUM(R48)</f>
        <v>0</v>
      </c>
      <c r="S47" s="400">
        <f t="shared" si="27"/>
        <v>0</v>
      </c>
      <c r="T47" s="339"/>
      <c r="W47" s="573"/>
      <c r="X47" s="574"/>
    </row>
    <row r="48" spans="1:24" s="231" customFormat="1" ht="30">
      <c r="C48" s="584"/>
      <c r="D48" s="153" t="s">
        <v>2811</v>
      </c>
      <c r="E48" s="683">
        <v>41198</v>
      </c>
      <c r="F48" s="683" t="s">
        <v>4992</v>
      </c>
      <c r="G48" s="585" t="s">
        <v>5722</v>
      </c>
      <c r="H48" s="538"/>
      <c r="I48" s="208">
        <v>85679</v>
      </c>
      <c r="J48" s="333">
        <v>342537</v>
      </c>
      <c r="K48" s="186">
        <v>73004.350999999995</v>
      </c>
      <c r="L48" s="186">
        <v>52605.883999999998</v>
      </c>
      <c r="M48" s="186">
        <v>216926.37</v>
      </c>
      <c r="N48" s="572">
        <f>SUM(K48:M48)</f>
        <v>342536.60499999998</v>
      </c>
      <c r="O48" s="572">
        <f>N48+I48</f>
        <v>428215.60499999998</v>
      </c>
      <c r="P48" s="230" t="s">
        <v>110</v>
      </c>
      <c r="Q48" s="151" t="s">
        <v>105</v>
      </c>
      <c r="R48" s="244"/>
      <c r="S48" s="244"/>
      <c r="T48" s="578"/>
      <c r="U48" s="151" t="s">
        <v>2790</v>
      </c>
      <c r="V48" s="12" t="s">
        <v>2812</v>
      </c>
      <c r="W48" s="586"/>
      <c r="X48" s="574">
        <v>1</v>
      </c>
    </row>
    <row r="49" spans="1:26">
      <c r="E49" s="683"/>
      <c r="F49" s="683"/>
      <c r="Q49" s="152"/>
    </row>
    <row r="50" spans="1:26">
      <c r="A50" s="761" t="s">
        <v>4905</v>
      </c>
      <c r="B50" s="760" t="s">
        <v>4908</v>
      </c>
      <c r="C50" s="278"/>
      <c r="E50" s="683"/>
      <c r="F50" s="683"/>
      <c r="K50" s="7">
        <f>SUM(K52)</f>
        <v>0</v>
      </c>
      <c r="L50" s="7">
        <f t="shared" ref="L50:M50" si="28">SUM(L52)</f>
        <v>1264000</v>
      </c>
      <c r="M50" s="7">
        <f t="shared" si="28"/>
        <v>0</v>
      </c>
      <c r="N50" s="221">
        <f>N51</f>
        <v>1264000</v>
      </c>
      <c r="Q50" s="152"/>
      <c r="R50" s="221">
        <f t="shared" ref="R50:S51" si="29">R51</f>
        <v>1264000</v>
      </c>
      <c r="S50" s="221">
        <f t="shared" si="29"/>
        <v>1264000</v>
      </c>
    </row>
    <row r="51" spans="1:26">
      <c r="B51" s="4" t="s">
        <v>4909</v>
      </c>
      <c r="C51" s="278"/>
      <c r="E51" s="683"/>
      <c r="F51" s="683"/>
      <c r="K51" s="6"/>
      <c r="L51" s="6"/>
      <c r="M51" s="6"/>
      <c r="N51" s="400">
        <f>N52</f>
        <v>1264000</v>
      </c>
      <c r="Q51" s="152"/>
      <c r="R51" s="400">
        <f t="shared" si="29"/>
        <v>1264000</v>
      </c>
      <c r="S51" s="400">
        <f t="shared" si="29"/>
        <v>1264000</v>
      </c>
    </row>
    <row r="52" spans="1:26" s="64" customFormat="1" ht="60">
      <c r="C52" s="227"/>
      <c r="D52" s="182" t="s">
        <v>2813</v>
      </c>
      <c r="E52" s="683">
        <v>41166</v>
      </c>
      <c r="F52" s="683" t="s">
        <v>4965</v>
      </c>
      <c r="G52" s="98" t="s">
        <v>5723</v>
      </c>
      <c r="H52" s="298"/>
      <c r="I52" s="105">
        <v>2000000</v>
      </c>
      <c r="J52" s="243">
        <v>1264000</v>
      </c>
      <c r="K52" s="186"/>
      <c r="L52" s="186">
        <v>1264000</v>
      </c>
      <c r="M52" s="582"/>
      <c r="N52" s="203">
        <f>SUM(K52:M52)</f>
        <v>1264000</v>
      </c>
      <c r="O52" s="587">
        <f>N52+I52</f>
        <v>3264000</v>
      </c>
      <c r="P52" s="230" t="s">
        <v>110</v>
      </c>
      <c r="Q52" s="151" t="s">
        <v>105</v>
      </c>
      <c r="R52" s="244">
        <v>1264000</v>
      </c>
      <c r="S52" s="244">
        <v>1264000</v>
      </c>
      <c r="T52" s="578" t="s">
        <v>6095</v>
      </c>
      <c r="U52" s="151" t="s">
        <v>2790</v>
      </c>
      <c r="V52" s="12" t="s">
        <v>2814</v>
      </c>
      <c r="W52" s="232"/>
      <c r="X52" s="588">
        <v>1</v>
      </c>
      <c r="Y52" s="322"/>
      <c r="Z52" s="323"/>
    </row>
    <row r="53" spans="1:26" s="64" customFormat="1" ht="15" customHeight="1">
      <c r="B53" s="227"/>
      <c r="C53" s="227"/>
      <c r="D53" s="182"/>
      <c r="E53" s="683"/>
      <c r="F53" s="683"/>
      <c r="G53" s="98"/>
      <c r="H53" s="298"/>
      <c r="I53" s="105"/>
      <c r="J53" s="243"/>
      <c r="K53" s="186"/>
      <c r="L53" s="186"/>
      <c r="M53" s="582"/>
      <c r="N53" s="203"/>
      <c r="O53" s="587"/>
      <c r="P53" s="589"/>
      <c r="Q53" s="1138"/>
      <c r="R53" s="982"/>
      <c r="S53" s="982"/>
      <c r="T53" s="983"/>
      <c r="U53" s="151"/>
      <c r="V53" s="12"/>
      <c r="W53" s="232"/>
      <c r="X53" s="588"/>
      <c r="Y53" s="322"/>
      <c r="Z53" s="323"/>
    </row>
    <row r="54" spans="1:26" s="64" customFormat="1">
      <c r="A54" s="761" t="s">
        <v>4906</v>
      </c>
      <c r="B54" s="973" t="s">
        <v>4907</v>
      </c>
      <c r="C54" s="978"/>
      <c r="D54" s="979"/>
      <c r="E54" s="683"/>
      <c r="F54" s="683"/>
      <c r="G54" s="98"/>
      <c r="H54" s="298"/>
      <c r="I54" s="105"/>
      <c r="J54" s="243">
        <v>1260000</v>
      </c>
      <c r="K54" s="186"/>
      <c r="L54" s="186"/>
      <c r="M54" s="582"/>
      <c r="N54" s="203"/>
      <c r="O54" s="587"/>
      <c r="P54" s="589"/>
      <c r="Q54" s="1138"/>
      <c r="R54" s="982"/>
      <c r="S54" s="982"/>
      <c r="T54" s="983"/>
      <c r="U54" s="151"/>
      <c r="V54" s="12"/>
      <c r="W54" s="232"/>
      <c r="X54" s="588"/>
      <c r="Y54" s="322"/>
      <c r="Z54" s="323"/>
    </row>
    <row r="55" spans="1:26">
      <c r="E55" s="683"/>
      <c r="F55" s="683"/>
      <c r="Q55" s="152"/>
    </row>
    <row r="56" spans="1:26">
      <c r="A56" s="761" t="s">
        <v>4911</v>
      </c>
      <c r="B56" s="35" t="s">
        <v>4910</v>
      </c>
      <c r="C56" s="222"/>
      <c r="E56" s="683"/>
      <c r="F56" s="683"/>
      <c r="K56" s="7">
        <f>SUM(K58)</f>
        <v>0</v>
      </c>
      <c r="L56" s="7">
        <f t="shared" ref="L56:M56" si="30">SUM(L58)</f>
        <v>44171</v>
      </c>
      <c r="M56" s="7">
        <f t="shared" si="30"/>
        <v>0</v>
      </c>
      <c r="N56" s="221">
        <f>N57</f>
        <v>44171</v>
      </c>
      <c r="Q56" s="152"/>
      <c r="R56" s="221">
        <f t="shared" ref="R56:S56" si="31">R57</f>
        <v>44171</v>
      </c>
      <c r="S56" s="221">
        <f t="shared" si="31"/>
        <v>44171</v>
      </c>
    </row>
    <row r="57" spans="1:26">
      <c r="B57" s="222" t="s">
        <v>2823</v>
      </c>
      <c r="C57" s="222"/>
      <c r="E57" s="683"/>
      <c r="F57" s="683"/>
      <c r="K57" s="6"/>
      <c r="L57" s="6"/>
      <c r="M57" s="6"/>
      <c r="N57" s="400">
        <f>SUM(N58)</f>
        <v>44171</v>
      </c>
      <c r="Q57" s="152"/>
      <c r="R57" s="400">
        <f t="shared" ref="R57:S57" si="32">SUM(R58)</f>
        <v>44171</v>
      </c>
      <c r="S57" s="400">
        <f t="shared" si="32"/>
        <v>44171</v>
      </c>
    </row>
    <row r="58" spans="1:26" s="16" customFormat="1" ht="126" customHeight="1">
      <c r="C58" s="33"/>
      <c r="D58" s="182" t="s">
        <v>2815</v>
      </c>
      <c r="E58" s="683">
        <v>41162</v>
      </c>
      <c r="F58" s="1146" t="s">
        <v>4963</v>
      </c>
      <c r="G58" s="83" t="s">
        <v>5724</v>
      </c>
      <c r="I58" s="14">
        <v>3254728</v>
      </c>
      <c r="J58" s="216">
        <v>44171</v>
      </c>
      <c r="K58" s="117"/>
      <c r="L58" s="15">
        <v>44171</v>
      </c>
      <c r="M58" s="117"/>
      <c r="N58" s="1136">
        <f>SUM(K58:M58)</f>
        <v>44171</v>
      </c>
      <c r="O58" s="587">
        <f>N58+I58</f>
        <v>3298899</v>
      </c>
      <c r="P58" s="230" t="s">
        <v>110</v>
      </c>
      <c r="Q58" s="151" t="s">
        <v>105</v>
      </c>
      <c r="R58" s="244">
        <v>44171</v>
      </c>
      <c r="S58" s="244">
        <v>44171</v>
      </c>
      <c r="T58" s="578" t="s">
        <v>6055</v>
      </c>
      <c r="U58" s="151" t="s">
        <v>2790</v>
      </c>
      <c r="V58" s="12" t="s">
        <v>2816</v>
      </c>
      <c r="W58" s="573"/>
      <c r="X58" s="574">
        <v>1</v>
      </c>
    </row>
    <row r="59" spans="1:26" s="16" customFormat="1">
      <c r="A59" s="972" t="s">
        <v>4913</v>
      </c>
      <c r="B59" s="973" t="s">
        <v>4912</v>
      </c>
      <c r="C59" s="974"/>
      <c r="D59" s="975"/>
      <c r="E59" s="976"/>
      <c r="F59" s="683"/>
      <c r="G59" s="83"/>
      <c r="I59" s="14"/>
      <c r="J59" s="216"/>
      <c r="K59" s="7">
        <f>SUM(K60:K61)</f>
        <v>0</v>
      </c>
      <c r="L59" s="7">
        <f>SUM(L60:L61)</f>
        <v>0</v>
      </c>
      <c r="M59" s="7">
        <f>SUM(M60:M61)</f>
        <v>0</v>
      </c>
      <c r="N59" s="6"/>
      <c r="O59" s="587"/>
      <c r="P59" s="589"/>
      <c r="Q59" s="589"/>
      <c r="R59" s="982"/>
      <c r="S59" s="982"/>
      <c r="T59" s="983"/>
      <c r="U59" s="151"/>
      <c r="V59" s="12"/>
      <c r="W59" s="573"/>
      <c r="X59" s="574"/>
    </row>
    <row r="60" spans="1:26" s="16" customFormat="1">
      <c r="C60" s="33"/>
      <c r="D60" s="1137"/>
      <c r="E60" s="13"/>
      <c r="F60" s="13"/>
      <c r="G60" s="83"/>
      <c r="I60" s="14"/>
      <c r="J60" s="216"/>
      <c r="K60" s="117"/>
      <c r="L60" s="15"/>
      <c r="M60" s="117"/>
      <c r="N60" s="1136"/>
      <c r="O60" s="587"/>
      <c r="P60" s="589"/>
      <c r="Q60" s="589"/>
      <c r="R60" s="982"/>
      <c r="S60" s="982"/>
      <c r="T60" s="983"/>
      <c r="U60" s="151"/>
      <c r="V60" s="12"/>
      <c r="W60" s="573"/>
      <c r="X60" s="574"/>
    </row>
    <row r="61" spans="1:26" s="16" customFormat="1">
      <c r="A61" s="972" t="s">
        <v>4915</v>
      </c>
      <c r="B61" s="973" t="s">
        <v>4914</v>
      </c>
      <c r="C61" s="33"/>
      <c r="D61" s="1137"/>
      <c r="E61" s="13"/>
      <c r="F61" s="13"/>
      <c r="G61" s="83"/>
      <c r="I61" s="14"/>
      <c r="J61" s="216"/>
      <c r="K61" s="117"/>
      <c r="L61" s="15"/>
      <c r="M61" s="117"/>
      <c r="N61" s="1136"/>
      <c r="O61" s="587"/>
      <c r="P61" s="589"/>
      <c r="Q61" s="589"/>
      <c r="R61" s="982"/>
      <c r="S61" s="982"/>
      <c r="T61" s="983"/>
      <c r="U61" s="151"/>
      <c r="V61" s="12"/>
      <c r="W61" s="573"/>
      <c r="X61" s="574"/>
    </row>
    <row r="62" spans="1:26" s="16" customFormat="1">
      <c r="B62" s="33"/>
      <c r="C62" s="33"/>
      <c r="D62" s="1137"/>
      <c r="E62" s="13"/>
      <c r="F62" s="13"/>
      <c r="G62" s="83"/>
      <c r="I62" s="14"/>
      <c r="J62" s="216"/>
      <c r="K62" s="117"/>
      <c r="L62" s="15"/>
      <c r="M62" s="117"/>
      <c r="N62" s="1136"/>
      <c r="O62" s="587"/>
      <c r="P62" s="589"/>
      <c r="Q62" s="589"/>
      <c r="R62" s="982"/>
      <c r="S62" s="982"/>
      <c r="T62" s="983"/>
      <c r="U62" s="151"/>
      <c r="V62" s="12"/>
      <c r="W62" s="573"/>
      <c r="X62" s="574"/>
    </row>
    <row r="63" spans="1:26" s="16" customFormat="1">
      <c r="A63" s="972" t="s">
        <v>4917</v>
      </c>
      <c r="B63" s="973" t="s">
        <v>4916</v>
      </c>
      <c r="C63" s="880"/>
      <c r="D63" s="1137"/>
      <c r="E63" s="13"/>
      <c r="F63" s="13"/>
      <c r="G63" s="83"/>
      <c r="I63" s="14"/>
      <c r="J63" s="216"/>
      <c r="K63" s="7">
        <f>SUM(K64)</f>
        <v>0</v>
      </c>
      <c r="L63" s="7">
        <f>SUM(L64)</f>
        <v>0</v>
      </c>
      <c r="M63" s="7">
        <f>SUM(M64)</f>
        <v>0</v>
      </c>
      <c r="N63" s="6"/>
      <c r="O63" s="587"/>
      <c r="P63" s="589"/>
      <c r="Q63" s="589"/>
      <c r="R63" s="982"/>
      <c r="S63" s="982"/>
      <c r="T63" s="983"/>
      <c r="U63" s="151"/>
      <c r="V63" s="12"/>
      <c r="W63" s="573"/>
      <c r="X63" s="574"/>
    </row>
    <row r="64" spans="1:26" s="16" customFormat="1">
      <c r="C64" s="33"/>
      <c r="D64" s="1137"/>
      <c r="E64" s="13"/>
      <c r="F64" s="13"/>
      <c r="G64" s="83"/>
      <c r="I64" s="14"/>
      <c r="J64" s="216"/>
      <c r="K64" s="117"/>
      <c r="L64" s="15"/>
      <c r="M64" s="117"/>
      <c r="N64" s="1136"/>
      <c r="O64" s="587"/>
      <c r="P64" s="589"/>
      <c r="Q64" s="589"/>
      <c r="R64" s="982"/>
      <c r="S64" s="982"/>
      <c r="T64" s="983"/>
      <c r="U64" s="151"/>
      <c r="V64" s="12"/>
      <c r="W64" s="573"/>
      <c r="X64" s="574"/>
    </row>
    <row r="65" spans="1:25" s="16" customFormat="1">
      <c r="A65" s="972" t="s">
        <v>4919</v>
      </c>
      <c r="B65" s="973" t="s">
        <v>4918</v>
      </c>
      <c r="C65" s="974"/>
      <c r="D65" s="975"/>
      <c r="E65" s="977"/>
      <c r="F65" s="13"/>
      <c r="G65" s="83"/>
      <c r="I65" s="14"/>
      <c r="J65" s="216"/>
      <c r="K65" s="7">
        <f>SUM(K66)</f>
        <v>0</v>
      </c>
      <c r="L65" s="7">
        <f t="shared" ref="L65:M65" si="33">SUM(L66)</f>
        <v>0</v>
      </c>
      <c r="M65" s="7">
        <f t="shared" si="33"/>
        <v>0</v>
      </c>
      <c r="N65" s="6"/>
      <c r="O65" s="587"/>
      <c r="P65" s="589"/>
      <c r="Q65" s="589"/>
      <c r="R65" s="982"/>
      <c r="S65" s="982"/>
      <c r="T65" s="983"/>
      <c r="U65" s="151"/>
      <c r="V65" s="12"/>
      <c r="W65" s="573"/>
      <c r="X65" s="574"/>
    </row>
    <row r="66" spans="1:25" s="16" customFormat="1">
      <c r="C66" s="33"/>
      <c r="D66" s="1137"/>
      <c r="E66" s="13"/>
      <c r="F66" s="13"/>
      <c r="G66" s="83"/>
      <c r="I66" s="14"/>
      <c r="J66" s="216"/>
      <c r="K66" s="117"/>
      <c r="L66" s="15"/>
      <c r="M66" s="117"/>
      <c r="N66" s="1136"/>
      <c r="O66" s="587"/>
      <c r="P66" s="589"/>
      <c r="Q66" s="589"/>
      <c r="R66" s="982"/>
      <c r="S66" s="982"/>
      <c r="T66" s="983"/>
      <c r="U66" s="151"/>
      <c r="V66" s="12"/>
      <c r="W66" s="573"/>
      <c r="X66" s="574"/>
    </row>
    <row r="68" spans="1:25" s="571" customFormat="1" ht="20.100000000000001" customHeight="1" thickBot="1">
      <c r="B68" s="38" t="s">
        <v>4537</v>
      </c>
      <c r="C68" s="278"/>
      <c r="D68" s="591"/>
      <c r="E68" s="592"/>
      <c r="F68" s="592"/>
      <c r="G68" s="590"/>
      <c r="H68" s="590"/>
      <c r="I68" s="592"/>
      <c r="J68" s="593">
        <f>SUM(J10:J67)</f>
        <v>4113361</v>
      </c>
      <c r="K68" s="594">
        <f>K65+K63+K59+K56+K54+K50+K46+K42+K36+K32+K28+K24+K20+K16+K10</f>
        <v>73004.350999999995</v>
      </c>
      <c r="L68" s="594">
        <f>L65+L63+L59+L56+L54+L50+L46+L42+L36+L32+L28+L24+L20+L16+L10</f>
        <v>2064036.8840000001</v>
      </c>
      <c r="M68" s="594">
        <f>M65+M63+M59+M56+M54+M50+M46+M42+M36+M32+M28+M24+M20+M16+M10</f>
        <v>594039.02</v>
      </c>
      <c r="N68" s="594">
        <f>N65+N63+N59+N56+N54+N50+N46+N42+N36+N32+N28+N24+N20+N16+N10</f>
        <v>2731080.2549999999</v>
      </c>
      <c r="O68" s="278"/>
      <c r="P68" s="591"/>
      <c r="Q68" s="591"/>
      <c r="R68" s="594">
        <f t="shared" ref="R68:S68" si="34">R65+R63+R59+R56+R54+R50+R46+R42+R36+R32+R28+R24+R20+R16+R10</f>
        <v>1880703</v>
      </c>
      <c r="S68" s="594">
        <f t="shared" si="34"/>
        <v>2294005</v>
      </c>
      <c r="T68" s="580"/>
      <c r="U68" s="275"/>
      <c r="W68" s="595"/>
      <c r="X68" s="596"/>
    </row>
    <row r="69" spans="1:25" ht="15.75" thickTop="1"/>
    <row r="70" spans="1:25">
      <c r="W70" s="566">
        <f>COUNTA(W6:W68)</f>
        <v>2</v>
      </c>
      <c r="X70" s="566">
        <f>COUNTA(X6:X68)</f>
        <v>10</v>
      </c>
      <c r="Y70" s="81">
        <f>SUM(W70:X70)</f>
        <v>12</v>
      </c>
    </row>
    <row r="134" spans="2:264" s="83" customFormat="1">
      <c r="B134" s="597" t="s">
        <v>22</v>
      </c>
      <c r="C134" s="597"/>
      <c r="D134" s="62"/>
      <c r="E134" s="84"/>
      <c r="F134" s="84"/>
      <c r="I134" s="84"/>
      <c r="J134" s="310"/>
      <c r="K134" s="15"/>
      <c r="L134" s="15"/>
      <c r="M134" s="15"/>
      <c r="N134" s="15"/>
      <c r="O134" s="15"/>
      <c r="P134" s="62"/>
      <c r="Q134" s="62"/>
      <c r="R134" s="591"/>
      <c r="S134" s="591"/>
      <c r="T134" s="580"/>
      <c r="U134" s="275"/>
      <c r="V134" s="81"/>
      <c r="W134" s="566"/>
      <c r="X134" s="567"/>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c r="CE134" s="81"/>
      <c r="CF134" s="81"/>
      <c r="CG134" s="81"/>
      <c r="CH134" s="81"/>
      <c r="CI134" s="81"/>
      <c r="CJ134" s="81"/>
      <c r="CK134" s="81"/>
      <c r="CL134" s="81"/>
      <c r="CM134" s="81"/>
      <c r="CN134" s="81"/>
      <c r="CO134" s="81"/>
      <c r="CP134" s="81"/>
      <c r="CQ134" s="81"/>
      <c r="CR134" s="81"/>
      <c r="CS134" s="81"/>
      <c r="CT134" s="81"/>
      <c r="CU134" s="81"/>
      <c r="CV134" s="81"/>
      <c r="CW134" s="81"/>
      <c r="CX134" s="81"/>
      <c r="CY134" s="81"/>
      <c r="CZ134" s="81"/>
      <c r="DA134" s="81"/>
      <c r="DB134" s="81"/>
      <c r="DC134" s="81"/>
      <c r="DD134" s="81"/>
      <c r="DE134" s="81"/>
      <c r="DF134" s="81"/>
      <c r="DG134" s="81"/>
      <c r="DH134" s="81"/>
      <c r="DI134" s="81"/>
      <c r="DJ134" s="81"/>
      <c r="DK134" s="81"/>
      <c r="DL134" s="81"/>
      <c r="DM134" s="81"/>
      <c r="DN134" s="81"/>
      <c r="DO134" s="81"/>
      <c r="DP134" s="81"/>
      <c r="DQ134" s="81"/>
      <c r="DR134" s="81"/>
      <c r="DS134" s="81"/>
      <c r="DT134" s="81"/>
      <c r="DU134" s="81"/>
      <c r="DV134" s="81"/>
      <c r="DW134" s="81"/>
      <c r="DX134" s="81"/>
      <c r="DY134" s="81"/>
      <c r="DZ134" s="81"/>
      <c r="EA134" s="81"/>
      <c r="EB134" s="81"/>
      <c r="EC134" s="81"/>
      <c r="ED134" s="81"/>
      <c r="EE134" s="81"/>
      <c r="EF134" s="81"/>
      <c r="EG134" s="81"/>
      <c r="EH134" s="81"/>
      <c r="EI134" s="81"/>
      <c r="EJ134" s="81"/>
      <c r="EK134" s="81"/>
      <c r="EL134" s="81"/>
      <c r="EM134" s="81"/>
      <c r="EN134" s="81"/>
      <c r="EO134" s="81"/>
      <c r="EP134" s="81"/>
      <c r="EQ134" s="81"/>
      <c r="ER134" s="81"/>
      <c r="ES134" s="81"/>
      <c r="ET134" s="81"/>
      <c r="EU134" s="81"/>
      <c r="EV134" s="81"/>
      <c r="EW134" s="81"/>
      <c r="EX134" s="81"/>
      <c r="EY134" s="81"/>
      <c r="EZ134" s="81"/>
      <c r="FA134" s="81"/>
      <c r="FB134" s="81"/>
      <c r="FC134" s="81"/>
      <c r="FD134" s="81"/>
      <c r="FE134" s="81"/>
      <c r="FF134" s="81"/>
      <c r="FG134" s="81"/>
      <c r="FH134" s="81"/>
      <c r="FI134" s="81"/>
      <c r="FJ134" s="81"/>
      <c r="FK134" s="81"/>
      <c r="FL134" s="81"/>
      <c r="FM134" s="81"/>
      <c r="FN134" s="81"/>
      <c r="FO134" s="81"/>
      <c r="FP134" s="81"/>
      <c r="FQ134" s="81"/>
      <c r="FR134" s="81"/>
      <c r="FS134" s="81"/>
      <c r="FT134" s="81"/>
      <c r="FU134" s="81"/>
      <c r="FV134" s="81"/>
      <c r="FW134" s="81"/>
      <c r="FX134" s="81"/>
      <c r="FY134" s="81"/>
      <c r="FZ134" s="81"/>
      <c r="GA134" s="81"/>
      <c r="GB134" s="81"/>
      <c r="GC134" s="81"/>
      <c r="GD134" s="81"/>
      <c r="GE134" s="81"/>
      <c r="GF134" s="81"/>
      <c r="GG134" s="81"/>
      <c r="GH134" s="81"/>
      <c r="GI134" s="81"/>
      <c r="GJ134" s="81"/>
      <c r="GK134" s="81"/>
      <c r="GL134" s="81"/>
      <c r="GM134" s="81"/>
      <c r="GN134" s="81"/>
      <c r="GO134" s="81"/>
      <c r="GP134" s="81"/>
      <c r="GQ134" s="81"/>
      <c r="GR134" s="81"/>
      <c r="GS134" s="81"/>
      <c r="GT134" s="81"/>
      <c r="GU134" s="81"/>
      <c r="GV134" s="81"/>
      <c r="GW134" s="81"/>
      <c r="GX134" s="81"/>
      <c r="GY134" s="81"/>
      <c r="GZ134" s="81"/>
      <c r="HA134" s="81"/>
      <c r="HB134" s="81"/>
      <c r="HC134" s="81"/>
      <c r="HD134" s="81"/>
      <c r="HE134" s="81"/>
      <c r="HF134" s="81"/>
      <c r="HG134" s="81"/>
      <c r="HH134" s="81"/>
      <c r="HI134" s="81"/>
      <c r="HJ134" s="81"/>
      <c r="HK134" s="81"/>
      <c r="HL134" s="81"/>
      <c r="HM134" s="81"/>
      <c r="HN134" s="81"/>
      <c r="HO134" s="81"/>
      <c r="HP134" s="81"/>
      <c r="HQ134" s="81"/>
      <c r="HR134" s="81"/>
      <c r="HS134" s="81"/>
      <c r="HT134" s="81"/>
      <c r="HU134" s="81"/>
      <c r="HV134" s="81"/>
      <c r="HW134" s="81"/>
      <c r="HX134" s="81"/>
      <c r="HY134" s="81"/>
      <c r="HZ134" s="81"/>
      <c r="IA134" s="81"/>
      <c r="IB134" s="81"/>
      <c r="IC134" s="81"/>
      <c r="ID134" s="81"/>
      <c r="IE134" s="81"/>
      <c r="IF134" s="81"/>
      <c r="IG134" s="81"/>
      <c r="IH134" s="81"/>
      <c r="II134" s="81"/>
      <c r="IJ134" s="81"/>
      <c r="IK134" s="81"/>
      <c r="IL134" s="81"/>
      <c r="IM134" s="81"/>
      <c r="IN134" s="81"/>
      <c r="IO134" s="81"/>
      <c r="IP134" s="81"/>
      <c r="IQ134" s="81"/>
      <c r="IR134" s="81"/>
      <c r="IS134" s="81"/>
      <c r="IT134" s="81"/>
      <c r="IU134" s="81"/>
      <c r="IV134" s="81"/>
      <c r="IW134" s="81"/>
      <c r="IX134" s="81"/>
      <c r="IY134" s="81"/>
      <c r="IZ134" s="81"/>
      <c r="JA134" s="81"/>
      <c r="JB134" s="81"/>
      <c r="JC134" s="81"/>
      <c r="JD134" s="81"/>
    </row>
    <row r="683" spans="2:264" s="84" customFormat="1">
      <c r="B683" s="15"/>
      <c r="C683" s="15"/>
      <c r="D683" s="62" t="s">
        <v>23</v>
      </c>
      <c r="G683" s="83"/>
      <c r="H683" s="83"/>
      <c r="J683" s="310"/>
      <c r="K683" s="15"/>
      <c r="L683" s="15"/>
      <c r="M683" s="15"/>
      <c r="N683" s="15"/>
      <c r="O683" s="15"/>
      <c r="P683" s="62"/>
      <c r="Q683" s="62"/>
      <c r="R683" s="591"/>
      <c r="S683" s="591"/>
      <c r="T683" s="580"/>
      <c r="U683" s="275"/>
      <c r="V683" s="81"/>
      <c r="W683" s="566"/>
      <c r="X683" s="567"/>
      <c r="Y683" s="81"/>
      <c r="Z683" s="81"/>
      <c r="AA683" s="81"/>
      <c r="AB683" s="81"/>
      <c r="AC683" s="81"/>
      <c r="AD683" s="81"/>
      <c r="AE683" s="81"/>
      <c r="AF683" s="81"/>
      <c r="AG683" s="81"/>
      <c r="AH683" s="81"/>
      <c r="AI683" s="81"/>
      <c r="AJ683" s="81"/>
      <c r="AK683" s="81"/>
      <c r="AL683" s="81"/>
      <c r="AM683" s="81"/>
      <c r="AN683" s="81"/>
      <c r="AO683" s="81"/>
      <c r="AP683" s="81"/>
      <c r="AQ683" s="81"/>
      <c r="AR683" s="81"/>
      <c r="AS683" s="81"/>
      <c r="AT683" s="81"/>
      <c r="AU683" s="81"/>
      <c r="AV683" s="81"/>
      <c r="AW683" s="81"/>
      <c r="AX683" s="81"/>
      <c r="AY683" s="81"/>
      <c r="AZ683" s="81"/>
      <c r="BA683" s="81"/>
      <c r="BB683" s="81"/>
      <c r="BC683" s="81"/>
      <c r="BD683" s="81"/>
      <c r="BE683" s="81"/>
      <c r="BF683" s="81"/>
      <c r="BG683" s="81"/>
      <c r="BH683" s="81"/>
      <c r="BI683" s="81"/>
      <c r="BJ683" s="81"/>
      <c r="BK683" s="81"/>
      <c r="BL683" s="81"/>
      <c r="BM683" s="81"/>
      <c r="BN683" s="81"/>
      <c r="BO683" s="81"/>
      <c r="BP683" s="81"/>
      <c r="BQ683" s="81"/>
      <c r="BR683" s="81"/>
      <c r="BS683" s="81"/>
      <c r="BT683" s="81"/>
      <c r="BU683" s="81"/>
      <c r="BV683" s="81"/>
      <c r="BW683" s="81"/>
      <c r="BX683" s="81"/>
      <c r="BY683" s="81"/>
      <c r="BZ683" s="81"/>
      <c r="CA683" s="81"/>
      <c r="CB683" s="81"/>
      <c r="CC683" s="81"/>
      <c r="CD683" s="81"/>
      <c r="CE683" s="81"/>
      <c r="CF683" s="81"/>
      <c r="CG683" s="81"/>
      <c r="CH683" s="81"/>
      <c r="CI683" s="81"/>
      <c r="CJ683" s="81"/>
      <c r="CK683" s="81"/>
      <c r="CL683" s="81"/>
      <c r="CM683" s="81"/>
      <c r="CN683" s="81"/>
      <c r="CO683" s="81"/>
      <c r="CP683" s="81"/>
      <c r="CQ683" s="81"/>
      <c r="CR683" s="81"/>
      <c r="CS683" s="81"/>
      <c r="CT683" s="81"/>
      <c r="CU683" s="81"/>
      <c r="CV683" s="81"/>
      <c r="CW683" s="81"/>
      <c r="CX683" s="81"/>
      <c r="CY683" s="81"/>
      <c r="CZ683" s="81"/>
      <c r="DA683" s="81"/>
      <c r="DB683" s="81"/>
      <c r="DC683" s="81"/>
      <c r="DD683" s="81"/>
      <c r="DE683" s="81"/>
      <c r="DF683" s="81"/>
      <c r="DG683" s="81"/>
      <c r="DH683" s="81"/>
      <c r="DI683" s="81"/>
      <c r="DJ683" s="81"/>
      <c r="DK683" s="81"/>
      <c r="DL683" s="81"/>
      <c r="DM683" s="81"/>
      <c r="DN683" s="81"/>
      <c r="DO683" s="81"/>
      <c r="DP683" s="81"/>
      <c r="DQ683" s="81"/>
      <c r="DR683" s="81"/>
      <c r="DS683" s="81"/>
      <c r="DT683" s="81"/>
      <c r="DU683" s="81"/>
      <c r="DV683" s="81"/>
      <c r="DW683" s="81"/>
      <c r="DX683" s="81"/>
      <c r="DY683" s="81"/>
      <c r="DZ683" s="81"/>
      <c r="EA683" s="81"/>
      <c r="EB683" s="81"/>
      <c r="EC683" s="81"/>
      <c r="ED683" s="81"/>
      <c r="EE683" s="81"/>
      <c r="EF683" s="81"/>
      <c r="EG683" s="81"/>
      <c r="EH683" s="81"/>
      <c r="EI683" s="81"/>
      <c r="EJ683" s="81"/>
      <c r="EK683" s="81"/>
      <c r="EL683" s="81"/>
      <c r="EM683" s="81"/>
      <c r="EN683" s="81"/>
      <c r="EO683" s="81"/>
      <c r="EP683" s="81"/>
      <c r="EQ683" s="81"/>
      <c r="ER683" s="81"/>
      <c r="ES683" s="81"/>
      <c r="ET683" s="81"/>
      <c r="EU683" s="81"/>
      <c r="EV683" s="81"/>
      <c r="EW683" s="81"/>
      <c r="EX683" s="81"/>
      <c r="EY683" s="81"/>
      <c r="EZ683" s="81"/>
      <c r="FA683" s="81"/>
      <c r="FB683" s="81"/>
      <c r="FC683" s="81"/>
      <c r="FD683" s="81"/>
      <c r="FE683" s="81"/>
      <c r="FF683" s="81"/>
      <c r="FG683" s="81"/>
      <c r="FH683" s="81"/>
      <c r="FI683" s="81"/>
      <c r="FJ683" s="81"/>
      <c r="FK683" s="81"/>
      <c r="FL683" s="81"/>
      <c r="FM683" s="81"/>
      <c r="FN683" s="81"/>
      <c r="FO683" s="81"/>
      <c r="FP683" s="81"/>
      <c r="FQ683" s="81"/>
      <c r="FR683" s="81"/>
      <c r="FS683" s="81"/>
      <c r="FT683" s="81"/>
      <c r="FU683" s="81"/>
      <c r="FV683" s="81"/>
      <c r="FW683" s="81"/>
      <c r="FX683" s="81"/>
      <c r="FY683" s="81"/>
      <c r="FZ683" s="81"/>
      <c r="GA683" s="81"/>
      <c r="GB683" s="81"/>
      <c r="GC683" s="81"/>
      <c r="GD683" s="81"/>
      <c r="GE683" s="81"/>
      <c r="GF683" s="81"/>
      <c r="GG683" s="81"/>
      <c r="GH683" s="81"/>
      <c r="GI683" s="81"/>
      <c r="GJ683" s="81"/>
      <c r="GK683" s="81"/>
      <c r="GL683" s="81"/>
      <c r="GM683" s="81"/>
      <c r="GN683" s="81"/>
      <c r="GO683" s="81"/>
      <c r="GP683" s="81"/>
      <c r="GQ683" s="81"/>
      <c r="GR683" s="81"/>
      <c r="GS683" s="81"/>
      <c r="GT683" s="81"/>
      <c r="GU683" s="81"/>
      <c r="GV683" s="81"/>
      <c r="GW683" s="81"/>
      <c r="GX683" s="81"/>
      <c r="GY683" s="81"/>
      <c r="GZ683" s="81"/>
      <c r="HA683" s="81"/>
      <c r="HB683" s="81"/>
      <c r="HC683" s="81"/>
      <c r="HD683" s="81"/>
      <c r="HE683" s="81"/>
      <c r="HF683" s="81"/>
      <c r="HG683" s="81"/>
      <c r="HH683" s="81"/>
      <c r="HI683" s="81"/>
      <c r="HJ683" s="81"/>
      <c r="HK683" s="81"/>
      <c r="HL683" s="81"/>
      <c r="HM683" s="81"/>
      <c r="HN683" s="81"/>
      <c r="HO683" s="81"/>
      <c r="HP683" s="81"/>
      <c r="HQ683" s="81"/>
      <c r="HR683" s="81"/>
      <c r="HS683" s="81"/>
      <c r="HT683" s="81"/>
      <c r="HU683" s="81"/>
      <c r="HV683" s="81"/>
      <c r="HW683" s="81"/>
      <c r="HX683" s="81"/>
      <c r="HY683" s="81"/>
      <c r="HZ683" s="81"/>
      <c r="IA683" s="81"/>
      <c r="IB683" s="81"/>
      <c r="IC683" s="81"/>
      <c r="ID683" s="81"/>
      <c r="IE683" s="81"/>
      <c r="IF683" s="81"/>
      <c r="IG683" s="81"/>
      <c r="IH683" s="81"/>
      <c r="II683" s="81"/>
      <c r="IJ683" s="81"/>
      <c r="IK683" s="81"/>
      <c r="IL683" s="81"/>
      <c r="IM683" s="81"/>
      <c r="IN683" s="81"/>
      <c r="IO683" s="81"/>
      <c r="IP683" s="81"/>
      <c r="IQ683" s="81"/>
      <c r="IR683" s="81"/>
      <c r="IS683" s="81"/>
      <c r="IT683" s="81"/>
      <c r="IU683" s="81"/>
      <c r="IV683" s="81"/>
      <c r="IW683" s="81"/>
      <c r="IX683" s="81"/>
      <c r="IY683" s="81"/>
      <c r="IZ683" s="81"/>
      <c r="JA683" s="81"/>
      <c r="JB683" s="81"/>
      <c r="JC683" s="81"/>
      <c r="JD683" s="81"/>
    </row>
    <row r="684" spans="2:264" s="84" customFormat="1">
      <c r="B684" s="15"/>
      <c r="C684" s="15"/>
      <c r="D684" s="62" t="s">
        <v>24</v>
      </c>
      <c r="G684" s="83"/>
      <c r="H684" s="83"/>
      <c r="J684" s="310"/>
      <c r="K684" s="15"/>
      <c r="L684" s="15"/>
      <c r="M684" s="15"/>
      <c r="N684" s="15"/>
      <c r="O684" s="15"/>
      <c r="P684" s="62"/>
      <c r="Q684" s="62"/>
      <c r="R684" s="591"/>
      <c r="S684" s="591"/>
      <c r="T684" s="580"/>
      <c r="U684" s="275"/>
      <c r="V684" s="81"/>
      <c r="W684" s="566"/>
      <c r="X684" s="567"/>
      <c r="Y684" s="81"/>
      <c r="Z684" s="81"/>
      <c r="AA684" s="81"/>
      <c r="AB684" s="81"/>
      <c r="AC684" s="81"/>
      <c r="AD684" s="81"/>
      <c r="AE684" s="81"/>
      <c r="AF684" s="81"/>
      <c r="AG684" s="81"/>
      <c r="AH684" s="81"/>
      <c r="AI684" s="81"/>
      <c r="AJ684" s="81"/>
      <c r="AK684" s="81"/>
      <c r="AL684" s="81"/>
      <c r="AM684" s="81"/>
      <c r="AN684" s="81"/>
      <c r="AO684" s="81"/>
      <c r="AP684" s="81"/>
      <c r="AQ684" s="81"/>
      <c r="AR684" s="81"/>
      <c r="AS684" s="81"/>
      <c r="AT684" s="81"/>
      <c r="AU684" s="81"/>
      <c r="AV684" s="81"/>
      <c r="AW684" s="81"/>
      <c r="AX684" s="81"/>
      <c r="AY684" s="81"/>
      <c r="AZ684" s="81"/>
      <c r="BA684" s="81"/>
      <c r="BB684" s="81"/>
      <c r="BC684" s="81"/>
      <c r="BD684" s="81"/>
      <c r="BE684" s="81"/>
      <c r="BF684" s="81"/>
      <c r="BG684" s="81"/>
      <c r="BH684" s="81"/>
      <c r="BI684" s="81"/>
      <c r="BJ684" s="81"/>
      <c r="BK684" s="81"/>
      <c r="BL684" s="81"/>
      <c r="BM684" s="81"/>
      <c r="BN684" s="81"/>
      <c r="BO684" s="81"/>
      <c r="BP684" s="81"/>
      <c r="BQ684" s="81"/>
      <c r="BR684" s="81"/>
      <c r="BS684" s="81"/>
      <c r="BT684" s="81"/>
      <c r="BU684" s="81"/>
      <c r="BV684" s="81"/>
      <c r="BW684" s="81"/>
      <c r="BX684" s="81"/>
      <c r="BY684" s="81"/>
      <c r="BZ684" s="81"/>
      <c r="CA684" s="81"/>
      <c r="CB684" s="81"/>
      <c r="CC684" s="81"/>
      <c r="CD684" s="81"/>
      <c r="CE684" s="81"/>
      <c r="CF684" s="81"/>
      <c r="CG684" s="81"/>
      <c r="CH684" s="81"/>
      <c r="CI684" s="81"/>
      <c r="CJ684" s="81"/>
      <c r="CK684" s="81"/>
      <c r="CL684" s="81"/>
      <c r="CM684" s="81"/>
      <c r="CN684" s="81"/>
      <c r="CO684" s="81"/>
      <c r="CP684" s="81"/>
      <c r="CQ684" s="81"/>
      <c r="CR684" s="81"/>
      <c r="CS684" s="81"/>
      <c r="CT684" s="81"/>
      <c r="CU684" s="81"/>
      <c r="CV684" s="81"/>
      <c r="CW684" s="81"/>
      <c r="CX684" s="81"/>
      <c r="CY684" s="81"/>
      <c r="CZ684" s="81"/>
      <c r="DA684" s="81"/>
      <c r="DB684" s="81"/>
      <c r="DC684" s="81"/>
      <c r="DD684" s="81"/>
      <c r="DE684" s="81"/>
      <c r="DF684" s="81"/>
      <c r="DG684" s="81"/>
      <c r="DH684" s="81"/>
      <c r="DI684" s="81"/>
      <c r="DJ684" s="81"/>
      <c r="DK684" s="81"/>
      <c r="DL684" s="81"/>
      <c r="DM684" s="81"/>
      <c r="DN684" s="81"/>
      <c r="DO684" s="81"/>
      <c r="DP684" s="81"/>
      <c r="DQ684" s="81"/>
      <c r="DR684" s="81"/>
      <c r="DS684" s="81"/>
      <c r="DT684" s="81"/>
      <c r="DU684" s="81"/>
      <c r="DV684" s="81"/>
      <c r="DW684" s="81"/>
      <c r="DX684" s="81"/>
      <c r="DY684" s="81"/>
      <c r="DZ684" s="81"/>
      <c r="EA684" s="81"/>
      <c r="EB684" s="81"/>
      <c r="EC684" s="81"/>
      <c r="ED684" s="81"/>
      <c r="EE684" s="81"/>
      <c r="EF684" s="81"/>
      <c r="EG684" s="81"/>
      <c r="EH684" s="81"/>
      <c r="EI684" s="81"/>
      <c r="EJ684" s="81"/>
      <c r="EK684" s="81"/>
      <c r="EL684" s="81"/>
      <c r="EM684" s="81"/>
      <c r="EN684" s="81"/>
      <c r="EO684" s="81"/>
      <c r="EP684" s="81"/>
      <c r="EQ684" s="81"/>
      <c r="ER684" s="81"/>
      <c r="ES684" s="81"/>
      <c r="ET684" s="81"/>
      <c r="EU684" s="81"/>
      <c r="EV684" s="81"/>
      <c r="EW684" s="81"/>
      <c r="EX684" s="81"/>
      <c r="EY684" s="81"/>
      <c r="EZ684" s="81"/>
      <c r="FA684" s="81"/>
      <c r="FB684" s="81"/>
      <c r="FC684" s="81"/>
      <c r="FD684" s="81"/>
      <c r="FE684" s="81"/>
      <c r="FF684" s="81"/>
      <c r="FG684" s="81"/>
      <c r="FH684" s="81"/>
      <c r="FI684" s="81"/>
      <c r="FJ684" s="81"/>
      <c r="FK684" s="81"/>
      <c r="FL684" s="81"/>
      <c r="FM684" s="81"/>
      <c r="FN684" s="81"/>
      <c r="FO684" s="81"/>
      <c r="FP684" s="81"/>
      <c r="FQ684" s="81"/>
      <c r="FR684" s="81"/>
      <c r="FS684" s="81"/>
      <c r="FT684" s="81"/>
      <c r="FU684" s="81"/>
      <c r="FV684" s="81"/>
      <c r="FW684" s="81"/>
      <c r="FX684" s="81"/>
      <c r="FY684" s="81"/>
      <c r="FZ684" s="81"/>
      <c r="GA684" s="81"/>
      <c r="GB684" s="81"/>
      <c r="GC684" s="81"/>
      <c r="GD684" s="81"/>
      <c r="GE684" s="81"/>
      <c r="GF684" s="81"/>
      <c r="GG684" s="81"/>
      <c r="GH684" s="81"/>
      <c r="GI684" s="81"/>
      <c r="GJ684" s="81"/>
      <c r="GK684" s="81"/>
      <c r="GL684" s="81"/>
      <c r="GM684" s="81"/>
      <c r="GN684" s="81"/>
      <c r="GO684" s="81"/>
      <c r="GP684" s="81"/>
      <c r="GQ684" s="81"/>
      <c r="GR684" s="81"/>
      <c r="GS684" s="81"/>
      <c r="GT684" s="81"/>
      <c r="GU684" s="81"/>
      <c r="GV684" s="81"/>
      <c r="GW684" s="81"/>
      <c r="GX684" s="81"/>
      <c r="GY684" s="81"/>
      <c r="GZ684" s="81"/>
      <c r="HA684" s="81"/>
      <c r="HB684" s="81"/>
      <c r="HC684" s="81"/>
      <c r="HD684" s="81"/>
      <c r="HE684" s="81"/>
      <c r="HF684" s="81"/>
      <c r="HG684" s="81"/>
      <c r="HH684" s="81"/>
      <c r="HI684" s="81"/>
      <c r="HJ684" s="81"/>
      <c r="HK684" s="81"/>
      <c r="HL684" s="81"/>
      <c r="HM684" s="81"/>
      <c r="HN684" s="81"/>
      <c r="HO684" s="81"/>
      <c r="HP684" s="81"/>
      <c r="HQ684" s="81"/>
      <c r="HR684" s="81"/>
      <c r="HS684" s="81"/>
      <c r="HT684" s="81"/>
      <c r="HU684" s="81"/>
      <c r="HV684" s="81"/>
      <c r="HW684" s="81"/>
      <c r="HX684" s="81"/>
      <c r="HY684" s="81"/>
      <c r="HZ684" s="81"/>
      <c r="IA684" s="81"/>
      <c r="IB684" s="81"/>
      <c r="IC684" s="81"/>
      <c r="ID684" s="81"/>
      <c r="IE684" s="81"/>
      <c r="IF684" s="81"/>
      <c r="IG684" s="81"/>
      <c r="IH684" s="81"/>
      <c r="II684" s="81"/>
      <c r="IJ684" s="81"/>
      <c r="IK684" s="81"/>
      <c r="IL684" s="81"/>
      <c r="IM684" s="81"/>
      <c r="IN684" s="81"/>
      <c r="IO684" s="81"/>
      <c r="IP684" s="81"/>
      <c r="IQ684" s="81"/>
      <c r="IR684" s="81"/>
      <c r="IS684" s="81"/>
      <c r="IT684" s="81"/>
      <c r="IU684" s="81"/>
      <c r="IV684" s="81"/>
      <c r="IW684" s="81"/>
      <c r="IX684" s="81"/>
      <c r="IY684" s="81"/>
      <c r="IZ684" s="81"/>
      <c r="JA684" s="81"/>
      <c r="JB684" s="81"/>
      <c r="JC684" s="81"/>
      <c r="JD684" s="81"/>
    </row>
  </sheetData>
  <customSheetViews>
    <customSheetView guid="{0D143C80-1B42-417D-B6C0-C88521CF36C7}" scale="90" showPageBreaks="1" printArea="1" hiddenColumns="1" view="pageBreakPreview">
      <pane xSplit="2" ySplit="5" topLeftCell="J6" activePane="bottomRight" state="frozen"/>
      <selection pane="bottomRight" sqref="A1:XFD1048576"/>
      <rowBreaks count="1" manualBreakCount="1">
        <brk id="35" max="21" man="1"/>
      </rowBreaks>
      <pageMargins left="0.49" right="0.2" top="0.3" bottom="0.3" header="0.4" footer="0.25"/>
      <printOptions horizontalCentered="1"/>
      <pageSetup paperSize="9" scale="55" orientation="landscape" r:id="rId1"/>
      <headerFooter>
        <oddFooter>&amp;C&amp;8&amp;P of &amp;N&amp;R&amp;8as of 28Dec31</oddFooter>
      </headerFooter>
    </customSheetView>
    <customSheetView guid="{5032F846-223D-4C05-81F5-66ECC60A941D}" showPageBreaks="1" printArea="1" hiddenRows="1" hiddenColumns="1" view="pageBreakPreview">
      <pane xSplit="1" ySplit="5" topLeftCell="B49" activePane="bottomRight" state="frozen"/>
      <selection pane="bottomRight" activeCell="B71" sqref="B71"/>
      <rowBreaks count="1" manualBreakCount="1">
        <brk id="39" max="19" man="1"/>
      </rowBreaks>
      <pageMargins left="0.49" right="0.2" top="0.48" bottom="0.39" header="0.4" footer="0.25"/>
      <printOptions horizontalCentered="1"/>
      <pageSetup paperSize="9" scale="59" orientation="landscape" r:id="rId2"/>
      <headerFooter>
        <oddFooter>&amp;C&amp;8&amp;P of &amp;N&amp;R&amp;8as of 28Dec31</oddFooter>
      </headerFooter>
    </customSheetView>
  </customSheetViews>
  <mergeCells count="16">
    <mergeCell ref="A4:B5"/>
    <mergeCell ref="U4:U5"/>
    <mergeCell ref="V4:V5"/>
    <mergeCell ref="J4:J5"/>
    <mergeCell ref="O4:O5"/>
    <mergeCell ref="Q4:Q5"/>
    <mergeCell ref="P4:P5"/>
    <mergeCell ref="R4:T4"/>
    <mergeCell ref="K4:M4"/>
    <mergeCell ref="N4:N5"/>
    <mergeCell ref="H4:H5"/>
    <mergeCell ref="D4:D5"/>
    <mergeCell ref="E4:E5"/>
    <mergeCell ref="C4:C5"/>
    <mergeCell ref="I4:I5"/>
    <mergeCell ref="F4:G4"/>
  </mergeCells>
  <printOptions horizontalCentered="1"/>
  <pageMargins left="0.49" right="0.2" top="0.3" bottom="0.3" header="0.4" footer="0.25"/>
  <pageSetup paperSize="9" scale="55" orientation="landscape" r:id="rId3"/>
  <headerFooter>
    <oddFooter>&amp;C&amp;8&amp;P of &amp;N&amp;R&amp;8as of 28Dec31</oddFooter>
  </headerFooter>
  <rowBreaks count="1" manualBreakCount="1">
    <brk id="35" max="21" man="1"/>
  </rowBreaks>
</worksheet>
</file>

<file path=xl/worksheets/sheet4.xml><?xml version="1.0" encoding="utf-8"?>
<worksheet xmlns="http://schemas.openxmlformats.org/spreadsheetml/2006/main" xmlns:r="http://schemas.openxmlformats.org/officeDocument/2006/relationships">
  <sheetPr>
    <tabColor rgb="FFFFFF00"/>
  </sheetPr>
  <dimension ref="A1:X1717"/>
  <sheetViews>
    <sheetView view="pageBreakPreview" zoomScaleSheetLayoutView="100" workbookViewId="0">
      <pane xSplit="4" ySplit="5" topLeftCell="E962" activePane="bottomRight" state="frozen"/>
      <selection pane="topRight" activeCell="E1" sqref="E1"/>
      <selection pane="bottomLeft" activeCell="A6" sqref="A6"/>
      <selection pane="bottomRight" sqref="A1:XFD1048576"/>
    </sheetView>
  </sheetViews>
  <sheetFormatPr defaultRowHeight="15"/>
  <cols>
    <col min="1" max="1" width="4.85546875" style="30" customWidth="1"/>
    <col min="2" max="2" width="52.5703125" style="30" customWidth="1"/>
    <col min="3" max="3" width="11.85546875" style="30" hidden="1" customWidth="1"/>
    <col min="4" max="4" width="12.42578125" style="43" customWidth="1"/>
    <col min="5" max="5" width="11.140625" style="718" customWidth="1"/>
    <col min="6" max="6" width="13.140625" style="718" customWidth="1"/>
    <col min="7" max="7" width="34.85546875" style="30" customWidth="1"/>
    <col min="8" max="8" width="43.42578125" style="30" hidden="1" customWidth="1"/>
    <col min="9" max="9" width="11.28515625" style="30" hidden="1" customWidth="1"/>
    <col min="10" max="10" width="13.140625" style="1213" customWidth="1"/>
    <col min="11" max="11" width="11.7109375" style="30" hidden="1" customWidth="1"/>
    <col min="12" max="12" width="14.140625" style="30" hidden="1" customWidth="1"/>
    <col min="13" max="13" width="11.7109375" style="30" hidden="1" customWidth="1"/>
    <col min="14" max="14" width="12.28515625" style="30" customWidth="1"/>
    <col min="15" max="15" width="11.42578125" style="30" hidden="1" customWidth="1"/>
    <col min="16" max="16" width="11.42578125" style="31" customWidth="1"/>
    <col min="17" max="17" width="14" style="31" bestFit="1" customWidth="1"/>
    <col min="18" max="18" width="13.7109375" style="1004" customWidth="1"/>
    <col min="19" max="19" width="16.7109375" style="1004" customWidth="1"/>
    <col min="20" max="20" width="32.7109375" style="1142" customWidth="1"/>
    <col min="21" max="21" width="18.5703125" style="30" hidden="1" customWidth="1"/>
    <col min="22" max="22" width="18" style="30" customWidth="1"/>
    <col min="23" max="23" width="15.5703125" style="30" customWidth="1"/>
    <col min="24" max="16384" width="9.140625" style="30"/>
  </cols>
  <sheetData>
    <row r="1" spans="1:22" s="119" customFormat="1">
      <c r="A1" s="1" t="s">
        <v>4524</v>
      </c>
      <c r="B1" s="1"/>
      <c r="C1" s="1189"/>
      <c r="D1" s="1190"/>
      <c r="E1" s="1191"/>
      <c r="F1" s="1191"/>
      <c r="G1" s="944"/>
      <c r="H1" s="944"/>
      <c r="I1" s="1192"/>
      <c r="J1" s="1193"/>
      <c r="K1" s="944"/>
      <c r="L1" s="944"/>
      <c r="M1" s="944"/>
      <c r="N1" s="944"/>
      <c r="O1" s="1192"/>
      <c r="P1" s="1194"/>
      <c r="Q1" s="1195"/>
      <c r="R1" s="316"/>
      <c r="S1" s="316"/>
      <c r="T1" s="962"/>
      <c r="U1" s="944"/>
      <c r="V1" s="944"/>
    </row>
    <row r="2" spans="1:22" s="119" customFormat="1">
      <c r="A2" s="1189" t="s">
        <v>0</v>
      </c>
      <c r="B2" s="1189"/>
      <c r="C2" s="1189"/>
      <c r="D2" s="1190"/>
      <c r="E2" s="1191"/>
      <c r="F2" s="1191"/>
      <c r="G2" s="944"/>
      <c r="H2" s="944"/>
      <c r="I2" s="1192"/>
      <c r="J2" s="1193"/>
      <c r="K2" s="944"/>
      <c r="L2" s="944"/>
      <c r="M2" s="944"/>
      <c r="N2" s="944"/>
      <c r="O2" s="1192"/>
      <c r="P2" s="1194"/>
      <c r="Q2" s="1195"/>
      <c r="R2" s="316"/>
      <c r="S2" s="316"/>
      <c r="T2" s="962"/>
      <c r="U2" s="944"/>
      <c r="V2" s="944"/>
    </row>
    <row r="3" spans="1:22" s="119" customFormat="1">
      <c r="B3" s="944"/>
      <c r="C3" s="944"/>
      <c r="D3" s="1190"/>
      <c r="E3" s="1191"/>
      <c r="F3" s="1191"/>
      <c r="G3" s="944"/>
      <c r="H3" s="944"/>
      <c r="I3" s="1192"/>
      <c r="J3" s="1193"/>
      <c r="K3" s="944"/>
      <c r="L3" s="944"/>
      <c r="M3" s="944"/>
      <c r="N3" s="944"/>
      <c r="O3" s="1192"/>
      <c r="P3" s="1194"/>
      <c r="Q3" s="1195"/>
      <c r="R3" s="316"/>
      <c r="S3" s="316"/>
      <c r="T3" s="962"/>
      <c r="U3" s="944"/>
      <c r="V3" s="944"/>
    </row>
    <row r="4" spans="1:22" ht="24" customHeight="1">
      <c r="A4" s="1310" t="s">
        <v>4470</v>
      </c>
      <c r="B4" s="1305"/>
      <c r="C4" s="1314" t="s">
        <v>4472</v>
      </c>
      <c r="D4" s="1301" t="s">
        <v>2</v>
      </c>
      <c r="E4" s="1313" t="s">
        <v>3</v>
      </c>
      <c r="F4" s="1316" t="s">
        <v>4556</v>
      </c>
      <c r="G4" s="1316"/>
      <c r="H4" s="1266" t="s">
        <v>1</v>
      </c>
      <c r="I4" s="1302" t="s">
        <v>4</v>
      </c>
      <c r="J4" s="1292" t="s">
        <v>4477</v>
      </c>
      <c r="K4" s="1303" t="s">
        <v>90</v>
      </c>
      <c r="L4" s="1304"/>
      <c r="M4" s="1304"/>
      <c r="N4" s="1305" t="s">
        <v>90</v>
      </c>
      <c r="O4" s="1301" t="s">
        <v>5</v>
      </c>
      <c r="P4" s="1268" t="s">
        <v>4475</v>
      </c>
      <c r="Q4" s="1278" t="s">
        <v>91</v>
      </c>
      <c r="R4" s="1260" t="s">
        <v>113</v>
      </c>
      <c r="S4" s="1261"/>
      <c r="T4" s="1262"/>
      <c r="U4" s="1297" t="s">
        <v>115</v>
      </c>
      <c r="V4" s="1262" t="s">
        <v>7</v>
      </c>
    </row>
    <row r="5" spans="1:22" ht="27.75" customHeight="1" thickBot="1">
      <c r="A5" s="1311"/>
      <c r="B5" s="1312"/>
      <c r="C5" s="1315"/>
      <c r="D5" s="1301"/>
      <c r="E5" s="1313"/>
      <c r="F5" s="1023" t="s">
        <v>4557</v>
      </c>
      <c r="G5" s="1099" t="s">
        <v>4558</v>
      </c>
      <c r="H5" s="1301"/>
      <c r="I5" s="1302"/>
      <c r="J5" s="1300"/>
      <c r="K5" s="1108" t="s">
        <v>8</v>
      </c>
      <c r="L5" s="1108" t="s">
        <v>9</v>
      </c>
      <c r="M5" s="1108" t="s">
        <v>10</v>
      </c>
      <c r="N5" s="1306"/>
      <c r="O5" s="1300"/>
      <c r="P5" s="1277"/>
      <c r="Q5" s="1279"/>
      <c r="R5" s="1106" t="s">
        <v>2818</v>
      </c>
      <c r="S5" s="1106" t="s">
        <v>148</v>
      </c>
      <c r="T5" s="1106" t="s">
        <v>149</v>
      </c>
      <c r="U5" s="1298"/>
      <c r="V5" s="1262"/>
    </row>
    <row r="6" spans="1:22">
      <c r="B6" s="1150"/>
      <c r="C6" s="1150"/>
      <c r="D6" s="49"/>
      <c r="E6" s="50"/>
      <c r="F6" s="50"/>
      <c r="G6" s="48"/>
      <c r="H6" s="49"/>
      <c r="I6" s="51"/>
      <c r="J6" s="49"/>
      <c r="K6" s="49"/>
      <c r="L6" s="49"/>
      <c r="M6" s="49"/>
      <c r="N6" s="49"/>
      <c r="O6" s="49"/>
      <c r="P6" s="1014"/>
      <c r="Q6" s="49"/>
      <c r="R6" s="1000"/>
      <c r="S6" s="1000"/>
      <c r="T6" s="1110"/>
      <c r="U6" s="1014"/>
      <c r="V6" s="1014"/>
    </row>
    <row r="7" spans="1:22">
      <c r="B7" s="1124" t="s">
        <v>2817</v>
      </c>
      <c r="C7" s="1150"/>
      <c r="D7" s="49"/>
      <c r="E7" s="50"/>
      <c r="F7" s="50"/>
      <c r="G7" s="48"/>
      <c r="H7" s="49"/>
      <c r="I7" s="51"/>
      <c r="J7" s="49"/>
      <c r="K7" s="49"/>
      <c r="L7" s="49"/>
      <c r="M7" s="49"/>
      <c r="N7" s="49"/>
      <c r="O7" s="49"/>
      <c r="P7" s="1014"/>
      <c r="Q7" s="49"/>
      <c r="R7" s="1000"/>
      <c r="S7" s="1000"/>
      <c r="T7" s="1110"/>
      <c r="U7" s="1014"/>
      <c r="V7" s="1014"/>
    </row>
    <row r="8" spans="1:22">
      <c r="B8" s="48"/>
      <c r="C8" s="1150"/>
      <c r="D8" s="49"/>
      <c r="E8" s="50"/>
      <c r="F8" s="50"/>
      <c r="G8" s="48"/>
      <c r="H8" s="49"/>
      <c r="I8" s="51"/>
      <c r="J8" s="49"/>
      <c r="K8" s="49"/>
      <c r="L8" s="49"/>
      <c r="M8" s="49"/>
      <c r="N8" s="49"/>
      <c r="O8" s="49"/>
      <c r="P8" s="1014"/>
      <c r="Q8" s="49"/>
      <c r="R8" s="1000"/>
      <c r="S8" s="1000"/>
      <c r="T8" s="1110"/>
      <c r="U8" s="1014"/>
      <c r="V8" s="1014"/>
    </row>
    <row r="9" spans="1:22">
      <c r="A9" s="1041" t="s">
        <v>4860</v>
      </c>
      <c r="B9" s="119" t="s">
        <v>4861</v>
      </c>
      <c r="C9" s="119"/>
      <c r="D9" s="49"/>
      <c r="E9" s="50"/>
      <c r="F9" s="50"/>
      <c r="G9" s="48"/>
      <c r="H9" s="49"/>
      <c r="I9" s="598"/>
      <c r="J9" s="599">
        <v>2000000</v>
      </c>
      <c r="K9" s="600"/>
      <c r="L9" s="600"/>
      <c r="M9" s="600">
        <f>M10</f>
        <v>2000000</v>
      </c>
      <c r="N9" s="600">
        <f>N10</f>
        <v>2000000</v>
      </c>
      <c r="O9" s="1130"/>
      <c r="P9" s="1196"/>
      <c r="Q9" s="1136"/>
      <c r="R9" s="600">
        <f t="shared" ref="R9:S9" si="0">R10</f>
        <v>1708434</v>
      </c>
      <c r="S9" s="600">
        <f t="shared" si="0"/>
        <v>1138952</v>
      </c>
      <c r="T9" s="1110"/>
      <c r="U9" s="1014"/>
      <c r="V9" s="1014"/>
    </row>
    <row r="10" spans="1:22">
      <c r="B10" s="1197" t="s">
        <v>150</v>
      </c>
      <c r="C10" s="1197"/>
      <c r="D10" s="49"/>
      <c r="E10" s="50"/>
      <c r="F10" s="50"/>
      <c r="G10" s="48"/>
      <c r="H10" s="49"/>
      <c r="I10" s="598"/>
      <c r="J10" s="601"/>
      <c r="K10" s="600"/>
      <c r="L10" s="600"/>
      <c r="M10" s="602">
        <f>SUM(M11:M12)</f>
        <v>2000000</v>
      </c>
      <c r="N10" s="602">
        <f>SUM(N11:N12)</f>
        <v>2000000</v>
      </c>
      <c r="O10" s="1130"/>
      <c r="P10" s="1196"/>
      <c r="Q10" s="1136"/>
      <c r="R10" s="602">
        <f t="shared" ref="R10:S10" si="1">SUM(R11:R12)</f>
        <v>1708434</v>
      </c>
      <c r="S10" s="602">
        <f t="shared" si="1"/>
        <v>1138952</v>
      </c>
      <c r="T10" s="1307" t="s">
        <v>4543</v>
      </c>
      <c r="U10" s="1014"/>
      <c r="V10" s="1014"/>
    </row>
    <row r="11" spans="1:22" ht="30">
      <c r="B11" s="1150"/>
      <c r="C11" s="1150"/>
      <c r="D11" s="69" t="s">
        <v>2819</v>
      </c>
      <c r="E11" s="13">
        <v>41087</v>
      </c>
      <c r="F11" s="26" t="s">
        <v>5002</v>
      </c>
      <c r="G11" s="18" t="s">
        <v>122</v>
      </c>
      <c r="H11" s="18"/>
      <c r="I11" s="598"/>
      <c r="J11" s="601"/>
      <c r="K11" s="49"/>
      <c r="L11" s="49"/>
      <c r="M11" s="67">
        <v>1301150</v>
      </c>
      <c r="N11" s="1136">
        <f t="shared" ref="N11:N12" si="2">SUM(K11:M11)</f>
        <v>1301150</v>
      </c>
      <c r="O11" s="1130"/>
      <c r="P11" s="647" t="s">
        <v>2820</v>
      </c>
      <c r="Q11" s="1136" t="s">
        <v>103</v>
      </c>
      <c r="R11" s="1308">
        <v>1708434</v>
      </c>
      <c r="S11" s="1308">
        <v>1138952</v>
      </c>
      <c r="T11" s="1307"/>
      <c r="U11" s="1014"/>
      <c r="V11" s="14" t="s">
        <v>2821</v>
      </c>
    </row>
    <row r="12" spans="1:22" ht="30">
      <c r="B12" s="1150"/>
      <c r="C12" s="1150"/>
      <c r="D12" s="69" t="s">
        <v>2822</v>
      </c>
      <c r="E12" s="13">
        <v>41137</v>
      </c>
      <c r="F12" s="26" t="s">
        <v>5002</v>
      </c>
      <c r="G12" s="18" t="s">
        <v>122</v>
      </c>
      <c r="H12" s="18"/>
      <c r="I12" s="598"/>
      <c r="J12" s="601"/>
      <c r="K12" s="49"/>
      <c r="L12" s="49"/>
      <c r="M12" s="67">
        <v>698850</v>
      </c>
      <c r="N12" s="1136">
        <f t="shared" si="2"/>
        <v>698850</v>
      </c>
      <c r="O12" s="1130"/>
      <c r="P12" s="647" t="s">
        <v>2820</v>
      </c>
      <c r="Q12" s="1136" t="s">
        <v>103</v>
      </c>
      <c r="R12" s="1308"/>
      <c r="S12" s="1308"/>
      <c r="T12" s="1307"/>
      <c r="U12" s="1014"/>
      <c r="V12" s="14" t="s">
        <v>2821</v>
      </c>
    </row>
    <row r="13" spans="1:22">
      <c r="B13" s="1150"/>
      <c r="C13" s="1150"/>
      <c r="D13" s="49"/>
      <c r="E13" s="50"/>
      <c r="F13" s="50"/>
      <c r="G13" s="48"/>
      <c r="H13" s="49"/>
      <c r="I13" s="598"/>
      <c r="J13" s="601"/>
      <c r="K13" s="49"/>
      <c r="L13" s="49"/>
      <c r="M13" s="49"/>
      <c r="N13" s="49"/>
      <c r="O13" s="1130"/>
      <c r="P13" s="1196"/>
      <c r="Q13" s="1136"/>
      <c r="R13" s="1000"/>
      <c r="S13" s="1000"/>
      <c r="T13" s="1110"/>
      <c r="U13" s="1014"/>
      <c r="V13" s="1014"/>
    </row>
    <row r="14" spans="1:22">
      <c r="A14" s="1041" t="s">
        <v>4863</v>
      </c>
      <c r="B14" s="739" t="s">
        <v>4862</v>
      </c>
      <c r="C14" s="1198"/>
      <c r="D14" s="49"/>
      <c r="E14" s="50"/>
      <c r="F14" s="50"/>
      <c r="G14" s="48"/>
      <c r="H14" s="49"/>
      <c r="I14" s="598"/>
      <c r="J14" s="603">
        <v>1600000</v>
      </c>
      <c r="K14" s="1199"/>
      <c r="L14" s="479">
        <f>L15</f>
        <v>104673</v>
      </c>
      <c r="M14" s="1199"/>
      <c r="N14" s="479">
        <f>N15</f>
        <v>104673</v>
      </c>
      <c r="O14" s="1130"/>
      <c r="P14" s="1196"/>
      <c r="Q14" s="1136"/>
      <c r="R14" s="479">
        <f t="shared" ref="R14:S15" si="3">R15</f>
        <v>96586.462</v>
      </c>
      <c r="S14" s="479">
        <f t="shared" si="3"/>
        <v>71396.869000000006</v>
      </c>
      <c r="T14" s="1110"/>
      <c r="U14" s="1014"/>
      <c r="V14" s="1014"/>
    </row>
    <row r="15" spans="1:22">
      <c r="B15" s="1197" t="s">
        <v>2823</v>
      </c>
      <c r="C15" s="1197"/>
      <c r="D15" s="49"/>
      <c r="E15" s="50"/>
      <c r="F15" s="50"/>
      <c r="G15" s="48"/>
      <c r="H15" s="49"/>
      <c r="I15" s="598"/>
      <c r="J15" s="604"/>
      <c r="K15" s="473"/>
      <c r="L15" s="473">
        <f>L16</f>
        <v>104673</v>
      </c>
      <c r="M15" s="473"/>
      <c r="N15" s="473">
        <f>N16</f>
        <v>104673</v>
      </c>
      <c r="O15" s="1130"/>
      <c r="P15" s="1196"/>
      <c r="Q15" s="1136"/>
      <c r="R15" s="473">
        <f t="shared" si="3"/>
        <v>96586.462</v>
      </c>
      <c r="S15" s="473">
        <f t="shared" si="3"/>
        <v>71396.869000000006</v>
      </c>
      <c r="T15" s="1110"/>
      <c r="U15" s="1014"/>
      <c r="V15" s="1014"/>
    </row>
    <row r="16" spans="1:22" ht="139.5" customHeight="1">
      <c r="B16" s="33"/>
      <c r="C16" s="33"/>
      <c r="D16" s="1137" t="s">
        <v>2824</v>
      </c>
      <c r="E16" s="13">
        <v>41337</v>
      </c>
      <c r="F16" s="1138" t="s">
        <v>6571</v>
      </c>
      <c r="G16" s="12" t="s">
        <v>5724</v>
      </c>
      <c r="H16" s="1137"/>
      <c r="I16" s="598"/>
      <c r="J16" s="604"/>
      <c r="K16" s="14"/>
      <c r="L16" s="14">
        <v>104673</v>
      </c>
      <c r="M16" s="117"/>
      <c r="N16" s="1136">
        <f>SUM(K16:M16)</f>
        <v>104673</v>
      </c>
      <c r="O16" s="1130"/>
      <c r="P16" s="647" t="s">
        <v>2820</v>
      </c>
      <c r="Q16" s="1136" t="s">
        <v>105</v>
      </c>
      <c r="R16" s="117">
        <v>96586.462</v>
      </c>
      <c r="S16" s="117">
        <v>71396.869000000006</v>
      </c>
      <c r="T16" s="1110" t="s">
        <v>6003</v>
      </c>
      <c r="U16" s="1014"/>
      <c r="V16" s="14" t="s">
        <v>2825</v>
      </c>
    </row>
    <row r="17" spans="1:22">
      <c r="B17" s="1150"/>
      <c r="C17" s="1150"/>
      <c r="D17" s="49"/>
      <c r="E17" s="50"/>
      <c r="F17" s="50"/>
      <c r="G17" s="48"/>
      <c r="H17" s="49"/>
      <c r="I17" s="598"/>
      <c r="J17" s="604"/>
      <c r="K17" s="49"/>
      <c r="L17" s="49"/>
      <c r="M17" s="49"/>
      <c r="N17" s="49"/>
      <c r="O17" s="1130"/>
      <c r="P17" s="1196"/>
      <c r="Q17" s="1136"/>
      <c r="R17" s="1000"/>
      <c r="S17" s="1000"/>
      <c r="T17" s="1110"/>
      <c r="U17" s="1014"/>
      <c r="V17" s="1014"/>
    </row>
    <row r="18" spans="1:22">
      <c r="A18" s="1200" t="s">
        <v>4864</v>
      </c>
      <c r="B18" s="1201" t="s">
        <v>4865</v>
      </c>
      <c r="C18" s="1150"/>
      <c r="D18" s="49"/>
      <c r="E18" s="50"/>
      <c r="F18" s="50"/>
      <c r="G18" s="48"/>
      <c r="H18" s="49"/>
      <c r="I18" s="598"/>
      <c r="J18" s="604"/>
      <c r="K18" s="49"/>
      <c r="L18" s="49"/>
      <c r="M18" s="49"/>
      <c r="N18" s="49"/>
      <c r="O18" s="1130"/>
      <c r="P18" s="1196"/>
      <c r="Q18" s="1136"/>
      <c r="R18" s="1000"/>
      <c r="S18" s="1000"/>
      <c r="T18" s="1110"/>
      <c r="U18" s="1014"/>
      <c r="V18" s="1014"/>
    </row>
    <row r="19" spans="1:22">
      <c r="A19" s="1041"/>
      <c r="B19" s="1198"/>
      <c r="C19" s="1150"/>
      <c r="D19" s="49"/>
      <c r="E19" s="50"/>
      <c r="F19" s="50"/>
      <c r="G19" s="48"/>
      <c r="H19" s="49"/>
      <c r="I19" s="598"/>
      <c r="J19" s="604"/>
      <c r="K19" s="49"/>
      <c r="L19" s="49"/>
      <c r="M19" s="49"/>
      <c r="N19" s="49"/>
      <c r="O19" s="1130"/>
      <c r="P19" s="1196"/>
      <c r="Q19" s="1136"/>
      <c r="R19" s="1000"/>
      <c r="S19" s="1000"/>
      <c r="T19" s="1110"/>
      <c r="U19" s="1014"/>
      <c r="V19" s="1014"/>
    </row>
    <row r="20" spans="1:22">
      <c r="A20" s="1200" t="s">
        <v>4866</v>
      </c>
      <c r="B20" s="1202" t="s">
        <v>4867</v>
      </c>
      <c r="C20" s="1150"/>
      <c r="D20" s="49"/>
      <c r="E20" s="50"/>
      <c r="F20" s="50"/>
      <c r="G20" s="48"/>
      <c r="H20" s="49"/>
      <c r="I20" s="598"/>
      <c r="J20" s="604"/>
      <c r="K20" s="49"/>
      <c r="L20" s="49"/>
      <c r="M20" s="49"/>
      <c r="N20" s="49"/>
      <c r="O20" s="1130"/>
      <c r="P20" s="1196"/>
      <c r="Q20" s="1136"/>
      <c r="R20" s="1000"/>
      <c r="S20" s="1000"/>
      <c r="T20" s="1110"/>
      <c r="U20" s="1014"/>
      <c r="V20" s="1014"/>
    </row>
    <row r="21" spans="1:22">
      <c r="B21" s="1150"/>
      <c r="C21" s="1150"/>
      <c r="D21" s="49"/>
      <c r="E21" s="50"/>
      <c r="F21" s="50"/>
      <c r="G21" s="48"/>
      <c r="H21" s="49"/>
      <c r="I21" s="598"/>
      <c r="J21" s="604"/>
      <c r="K21" s="49"/>
      <c r="L21" s="49"/>
      <c r="M21" s="49"/>
      <c r="N21" s="49"/>
      <c r="O21" s="1130"/>
      <c r="P21" s="1196"/>
      <c r="Q21" s="1136"/>
      <c r="R21" s="1000"/>
      <c r="S21" s="1000"/>
      <c r="T21" s="1110"/>
      <c r="U21" s="1014"/>
      <c r="V21" s="1014"/>
    </row>
    <row r="22" spans="1:22" ht="60">
      <c r="A22" s="1041" t="s">
        <v>4869</v>
      </c>
      <c r="B22" s="1198" t="s">
        <v>4868</v>
      </c>
      <c r="C22" s="1198"/>
      <c r="D22" s="49"/>
      <c r="E22" s="50"/>
      <c r="F22" s="50"/>
      <c r="G22" s="48"/>
      <c r="H22" s="49"/>
      <c r="I22" s="598"/>
      <c r="J22" s="603">
        <v>1000000</v>
      </c>
      <c r="K22" s="605"/>
      <c r="L22" s="605"/>
      <c r="M22" s="605">
        <f>M23</f>
        <v>1000000</v>
      </c>
      <c r="N22" s="605">
        <f>N23</f>
        <v>1000000</v>
      </c>
      <c r="O22" s="1130"/>
      <c r="P22" s="1196"/>
      <c r="Q22" s="1136"/>
      <c r="R22" s="605">
        <f t="shared" ref="R22:S23" si="4">R23</f>
        <v>1000000</v>
      </c>
      <c r="S22" s="605">
        <f t="shared" si="4"/>
        <v>1000000</v>
      </c>
      <c r="T22" s="1110"/>
      <c r="U22" s="1014"/>
      <c r="V22" s="1014"/>
    </row>
    <row r="23" spans="1:22">
      <c r="B23" s="1197" t="s">
        <v>165</v>
      </c>
      <c r="C23" s="1197"/>
      <c r="D23" s="49"/>
      <c r="E23" s="50"/>
      <c r="F23" s="50"/>
      <c r="G23" s="48"/>
      <c r="H23" s="49"/>
      <c r="I23" s="598"/>
      <c r="J23" s="604"/>
      <c r="K23" s="473"/>
      <c r="L23" s="473"/>
      <c r="M23" s="473">
        <f>M24</f>
        <v>1000000</v>
      </c>
      <c r="N23" s="473">
        <f>N24</f>
        <v>1000000</v>
      </c>
      <c r="O23" s="1130"/>
      <c r="P23" s="1196"/>
      <c r="Q23" s="1136"/>
      <c r="R23" s="473">
        <f t="shared" si="4"/>
        <v>1000000</v>
      </c>
      <c r="S23" s="473">
        <f t="shared" si="4"/>
        <v>1000000</v>
      </c>
      <c r="T23" s="1110"/>
      <c r="U23" s="1014"/>
      <c r="V23" s="1014"/>
    </row>
    <row r="24" spans="1:22" ht="120">
      <c r="B24" s="227" t="s">
        <v>2826</v>
      </c>
      <c r="C24" s="227"/>
      <c r="D24" s="182" t="s">
        <v>2827</v>
      </c>
      <c r="E24" s="419">
        <v>41207</v>
      </c>
      <c r="F24" s="419" t="s">
        <v>5839</v>
      </c>
      <c r="G24" s="185" t="s">
        <v>5838</v>
      </c>
      <c r="H24" s="185"/>
      <c r="I24" s="186">
        <v>409962</v>
      </c>
      <c r="J24" s="186"/>
      <c r="K24" s="49"/>
      <c r="L24" s="49"/>
      <c r="M24" s="203">
        <v>1000000</v>
      </c>
      <c r="N24" s="203">
        <f t="shared" ref="N24" si="5">SUM(K24:M24)</f>
        <v>1000000</v>
      </c>
      <c r="O24" s="186">
        <f>I24+N24</f>
        <v>1409962</v>
      </c>
      <c r="P24" s="647" t="s">
        <v>2820</v>
      </c>
      <c r="Q24" s="1136" t="s">
        <v>105</v>
      </c>
      <c r="R24" s="1107">
        <v>1000000</v>
      </c>
      <c r="S24" s="1107">
        <v>1000000</v>
      </c>
      <c r="T24" s="1110"/>
      <c r="U24" s="1014"/>
      <c r="V24" s="31" t="s">
        <v>6167</v>
      </c>
    </row>
    <row r="25" spans="1:22">
      <c r="B25" s="606" t="s">
        <v>886</v>
      </c>
      <c r="C25" s="606"/>
      <c r="D25" s="49"/>
      <c r="E25" s="50"/>
      <c r="F25" s="50"/>
      <c r="G25" s="48"/>
      <c r="H25" s="49"/>
      <c r="I25" s="598"/>
      <c r="J25" s="601"/>
      <c r="K25" s="49"/>
      <c r="L25" s="49"/>
      <c r="M25" s="49"/>
      <c r="N25" s="49"/>
      <c r="O25" s="1130"/>
      <c r="P25" s="1196"/>
      <c r="Q25" s="1136"/>
      <c r="R25" s="1000"/>
      <c r="S25" s="1000"/>
      <c r="T25" s="1110"/>
      <c r="U25" s="1014"/>
      <c r="V25" s="1014"/>
    </row>
    <row r="26" spans="1:22">
      <c r="A26" s="1041" t="s">
        <v>4871</v>
      </c>
      <c r="B26" s="1198" t="s">
        <v>4870</v>
      </c>
      <c r="C26" s="1198"/>
      <c r="D26" s="49"/>
      <c r="E26" s="50"/>
      <c r="F26" s="50"/>
      <c r="G26" s="48"/>
      <c r="H26" s="49"/>
      <c r="I26" s="598"/>
      <c r="J26" s="599">
        <v>5000000</v>
      </c>
      <c r="K26" s="600"/>
      <c r="L26" s="600"/>
      <c r="M26" s="600">
        <f>M27+M31</f>
        <v>5000000</v>
      </c>
      <c r="N26" s="600">
        <f>N27+N31</f>
        <v>5000000</v>
      </c>
      <c r="O26" s="1130"/>
      <c r="P26" s="1196"/>
      <c r="Q26" s="1136"/>
      <c r="R26" s="600">
        <f t="shared" ref="R26:S26" si="6">R27+R31</f>
        <v>4457385</v>
      </c>
      <c r="S26" s="600">
        <f t="shared" si="6"/>
        <v>3072519</v>
      </c>
      <c r="T26" s="1110"/>
      <c r="U26" s="1014"/>
      <c r="V26" s="1014"/>
    </row>
    <row r="27" spans="1:22">
      <c r="B27" s="1197" t="s">
        <v>150</v>
      </c>
      <c r="C27" s="1197"/>
      <c r="D27" s="49"/>
      <c r="E27" s="50"/>
      <c r="F27" s="50"/>
      <c r="G27" s="48"/>
      <c r="H27" s="49"/>
      <c r="I27" s="598"/>
      <c r="J27" s="601"/>
      <c r="K27" s="473"/>
      <c r="L27" s="473"/>
      <c r="M27" s="473">
        <f>SUM(M28:M29)</f>
        <v>3222774</v>
      </c>
      <c r="N27" s="473">
        <f>SUM(N28:N29)</f>
        <v>3222774</v>
      </c>
      <c r="O27" s="1130"/>
      <c r="P27" s="1196"/>
      <c r="Q27" s="1136"/>
      <c r="R27" s="473">
        <f t="shared" ref="R27:S27" si="7">SUM(R28:R29)</f>
        <v>2680159</v>
      </c>
      <c r="S27" s="473">
        <f t="shared" si="7"/>
        <v>1295293</v>
      </c>
      <c r="T27" s="1307" t="s">
        <v>4545</v>
      </c>
      <c r="U27" s="1014"/>
      <c r="V27" s="1014"/>
    </row>
    <row r="28" spans="1:22" ht="30">
      <c r="B28" s="1150"/>
      <c r="C28" s="1150"/>
      <c r="D28" s="69" t="s">
        <v>2828</v>
      </c>
      <c r="E28" s="13">
        <v>41164</v>
      </c>
      <c r="F28" s="26" t="s">
        <v>5841</v>
      </c>
      <c r="G28" s="18" t="s">
        <v>5840</v>
      </c>
      <c r="H28" s="18"/>
      <c r="I28" s="67">
        <v>50000</v>
      </c>
      <c r="J28" s="607"/>
      <c r="K28" s="49"/>
      <c r="L28" s="49"/>
      <c r="M28" s="67">
        <v>2366824</v>
      </c>
      <c r="N28" s="1136">
        <f>SUM(K28:M28)</f>
        <v>2366824</v>
      </c>
      <c r="O28" s="186">
        <f>I28+N28</f>
        <v>2416824</v>
      </c>
      <c r="P28" s="647" t="s">
        <v>2820</v>
      </c>
      <c r="Q28" s="1136" t="s">
        <v>105</v>
      </c>
      <c r="R28" s="1308">
        <v>2680159</v>
      </c>
      <c r="S28" s="1308">
        <v>1295293</v>
      </c>
      <c r="T28" s="1307"/>
      <c r="U28" s="1014"/>
      <c r="V28" s="14" t="s">
        <v>2829</v>
      </c>
    </row>
    <row r="29" spans="1:22" ht="30">
      <c r="B29" s="1150"/>
      <c r="C29" s="1150"/>
      <c r="D29" s="69" t="s">
        <v>2830</v>
      </c>
      <c r="E29" s="13">
        <v>41171</v>
      </c>
      <c r="F29" s="26" t="s">
        <v>5002</v>
      </c>
      <c r="G29" s="18" t="s">
        <v>122</v>
      </c>
      <c r="H29" s="18"/>
      <c r="I29" s="598"/>
      <c r="J29" s="601"/>
      <c r="K29" s="49"/>
      <c r="L29" s="49"/>
      <c r="M29" s="67">
        <v>855950</v>
      </c>
      <c r="N29" s="1136">
        <f>SUM(K29:M29)</f>
        <v>855950</v>
      </c>
      <c r="O29" s="1130"/>
      <c r="P29" s="647" t="s">
        <v>2820</v>
      </c>
      <c r="Q29" s="1136" t="s">
        <v>105</v>
      </c>
      <c r="R29" s="1308"/>
      <c r="S29" s="1308"/>
      <c r="T29" s="1307"/>
      <c r="U29" s="1014"/>
      <c r="V29" s="14" t="s">
        <v>237</v>
      </c>
    </row>
    <row r="30" spans="1:22">
      <c r="B30" s="1150"/>
      <c r="C30" s="1150"/>
      <c r="D30" s="49"/>
      <c r="E30" s="50"/>
      <c r="F30" s="50"/>
      <c r="G30" s="48"/>
      <c r="H30" s="49"/>
      <c r="I30" s="598"/>
      <c r="J30" s="601"/>
      <c r="K30" s="49"/>
      <c r="L30" s="49"/>
      <c r="M30" s="49"/>
      <c r="N30" s="49"/>
      <c r="O30" s="1130"/>
      <c r="P30" s="1196"/>
      <c r="Q30" s="1136"/>
      <c r="R30" s="1000"/>
      <c r="S30" s="1000"/>
      <c r="T30" s="1110"/>
      <c r="U30" s="1014"/>
      <c r="V30" s="1014"/>
    </row>
    <row r="31" spans="1:22">
      <c r="B31" s="1197" t="s">
        <v>2795</v>
      </c>
      <c r="C31" s="1197"/>
      <c r="D31" s="49"/>
      <c r="E31" s="50"/>
      <c r="F31" s="50"/>
      <c r="G31" s="48"/>
      <c r="H31" s="49"/>
      <c r="I31" s="598"/>
      <c r="J31" s="601"/>
      <c r="K31" s="473"/>
      <c r="L31" s="473"/>
      <c r="M31" s="473">
        <f>M32</f>
        <v>1777226</v>
      </c>
      <c r="N31" s="473">
        <f>N32</f>
        <v>1777226</v>
      </c>
      <c r="O31" s="1130"/>
      <c r="P31" s="1196"/>
      <c r="Q31" s="1136"/>
      <c r="R31" s="473">
        <f t="shared" ref="R31:S31" si="8">R32</f>
        <v>1777226</v>
      </c>
      <c r="S31" s="473">
        <f t="shared" si="8"/>
        <v>1777226</v>
      </c>
      <c r="T31" s="1110"/>
      <c r="U31" s="1014"/>
      <c r="V31" s="1014"/>
    </row>
    <row r="32" spans="1:22" ht="240">
      <c r="B32" s="227" t="s">
        <v>2831</v>
      </c>
      <c r="C32" s="227"/>
      <c r="D32" s="182" t="s">
        <v>2832</v>
      </c>
      <c r="E32" s="419">
        <v>41269</v>
      </c>
      <c r="F32" s="419" t="s">
        <v>5143</v>
      </c>
      <c r="G32" s="213" t="s">
        <v>5842</v>
      </c>
      <c r="H32" s="213"/>
      <c r="I32" s="203">
        <v>13294</v>
      </c>
      <c r="J32" s="186"/>
      <c r="K32" s="49"/>
      <c r="L32" s="49"/>
      <c r="M32" s="203">
        <v>1777226</v>
      </c>
      <c r="N32" s="203">
        <f>SUM(K32:M32)</f>
        <v>1777226</v>
      </c>
      <c r="O32" s="203">
        <f>N32+I32</f>
        <v>1790520</v>
      </c>
      <c r="P32" s="647" t="s">
        <v>2820</v>
      </c>
      <c r="Q32" s="1136" t="s">
        <v>103</v>
      </c>
      <c r="R32" s="255">
        <v>1777226</v>
      </c>
      <c r="S32" s="255">
        <v>1777226</v>
      </c>
      <c r="T32" s="1105" t="s">
        <v>6051</v>
      </c>
      <c r="U32" s="1203" t="s">
        <v>2833</v>
      </c>
      <c r="V32" s="31" t="s">
        <v>2834</v>
      </c>
    </row>
    <row r="33" spans="1:22">
      <c r="B33" s="1150"/>
      <c r="C33" s="1150"/>
      <c r="D33" s="49"/>
      <c r="E33" s="50"/>
      <c r="F33" s="50"/>
      <c r="G33" s="48"/>
      <c r="H33" s="49"/>
      <c r="I33" s="598"/>
      <c r="J33" s="601"/>
      <c r="K33" s="49"/>
      <c r="L33" s="49"/>
      <c r="M33" s="49"/>
      <c r="N33" s="49"/>
      <c r="O33" s="1130"/>
      <c r="P33" s="1196"/>
      <c r="Q33" s="1136"/>
      <c r="R33" s="1107"/>
      <c r="S33" s="1107"/>
      <c r="T33" s="1110"/>
      <c r="U33" s="1014"/>
      <c r="V33" s="1014"/>
    </row>
    <row r="34" spans="1:22">
      <c r="A34" s="1041" t="s">
        <v>4873</v>
      </c>
      <c r="B34" s="1198" t="s">
        <v>4872</v>
      </c>
      <c r="C34" s="1198"/>
      <c r="D34" s="49"/>
      <c r="E34" s="50"/>
      <c r="F34" s="50"/>
      <c r="G34" s="48"/>
      <c r="H34" s="49"/>
      <c r="I34" s="598"/>
      <c r="J34" s="599">
        <v>4077000</v>
      </c>
      <c r="K34" s="473">
        <f>K35</f>
        <v>3461685</v>
      </c>
      <c r="L34" s="473"/>
      <c r="M34" s="473"/>
      <c r="N34" s="473">
        <f>N35</f>
        <v>3461685</v>
      </c>
      <c r="O34" s="1130"/>
      <c r="P34" s="1196"/>
      <c r="Q34" s="1136"/>
      <c r="R34" s="473">
        <f t="shared" ref="R34:S35" si="9">R35</f>
        <v>3461685</v>
      </c>
      <c r="S34" s="473">
        <f t="shared" si="9"/>
        <v>3461685</v>
      </c>
      <c r="T34" s="1110"/>
      <c r="U34" s="1014"/>
      <c r="V34" s="1014"/>
    </row>
    <row r="35" spans="1:22">
      <c r="B35" s="1197" t="s">
        <v>2835</v>
      </c>
      <c r="C35" s="1197"/>
      <c r="D35" s="49"/>
      <c r="E35" s="50"/>
      <c r="F35" s="50"/>
      <c r="G35" s="48"/>
      <c r="H35" s="49"/>
      <c r="I35" s="598"/>
      <c r="J35" s="599"/>
      <c r="K35" s="608">
        <f>K36</f>
        <v>3461685</v>
      </c>
      <c r="L35" s="608"/>
      <c r="M35" s="608"/>
      <c r="N35" s="608">
        <f>N36</f>
        <v>3461685</v>
      </c>
      <c r="O35" s="1130"/>
      <c r="P35" s="1196"/>
      <c r="Q35" s="1136"/>
      <c r="R35" s="608">
        <f t="shared" si="9"/>
        <v>3461685</v>
      </c>
      <c r="S35" s="608">
        <f t="shared" si="9"/>
        <v>3461685</v>
      </c>
      <c r="T35" s="1110"/>
      <c r="U35" s="1014"/>
      <c r="V35" s="1014"/>
    </row>
    <row r="36" spans="1:22" ht="30">
      <c r="B36" s="227"/>
      <c r="C36" s="227"/>
      <c r="D36" s="182" t="s">
        <v>2836</v>
      </c>
      <c r="E36" s="419">
        <v>41180</v>
      </c>
      <c r="F36" s="419" t="s">
        <v>5843</v>
      </c>
      <c r="G36" s="98" t="s">
        <v>543</v>
      </c>
      <c r="H36" s="213"/>
      <c r="I36" s="186">
        <v>192745</v>
      </c>
      <c r="J36" s="186"/>
      <c r="K36" s="186">
        <v>3461685</v>
      </c>
      <c r="M36" s="322"/>
      <c r="N36" s="14">
        <f>SUM(K36:M36)</f>
        <v>3461685</v>
      </c>
      <c r="O36" s="14">
        <f>N36+I36</f>
        <v>3654430</v>
      </c>
      <c r="P36" s="647" t="s">
        <v>2820</v>
      </c>
      <c r="Q36" s="1136" t="s">
        <v>105</v>
      </c>
      <c r="R36" s="960">
        <v>3461685</v>
      </c>
      <c r="S36" s="960">
        <v>3461685</v>
      </c>
      <c r="T36" s="958"/>
      <c r="U36" s="16"/>
      <c r="V36" s="12" t="s">
        <v>2837</v>
      </c>
    </row>
    <row r="37" spans="1:22">
      <c r="B37" s="1150"/>
      <c r="C37" s="1150"/>
      <c r="D37" s="49"/>
      <c r="E37" s="50"/>
      <c r="F37" s="50"/>
      <c r="G37" s="48"/>
      <c r="H37" s="49"/>
      <c r="I37" s="598"/>
      <c r="J37" s="601"/>
      <c r="K37" s="49"/>
      <c r="L37" s="49"/>
      <c r="M37" s="49"/>
      <c r="N37" s="49"/>
      <c r="O37" s="1130"/>
      <c r="P37" s="1196"/>
      <c r="Q37" s="1136"/>
      <c r="R37" s="1000"/>
      <c r="S37" s="1000"/>
      <c r="T37" s="1110"/>
      <c r="U37" s="1014"/>
      <c r="V37" s="1014"/>
    </row>
    <row r="38" spans="1:22">
      <c r="A38" s="1041" t="s">
        <v>4874</v>
      </c>
      <c r="B38" s="1198" t="s">
        <v>4837</v>
      </c>
      <c r="C38" s="1198"/>
      <c r="D38" s="49"/>
      <c r="E38" s="50"/>
      <c r="F38" s="50"/>
      <c r="G38" s="48"/>
      <c r="H38" s="49"/>
      <c r="I38" s="598"/>
      <c r="J38" s="599">
        <v>8295000</v>
      </c>
      <c r="K38" s="1204"/>
      <c r="L38" s="479">
        <f>L39+L50+L56+L248+L251+L254+L419+L505+L596+L649+L682+L1611+L646</f>
        <v>4109068.1059999997</v>
      </c>
      <c r="M38" s="479">
        <f>M39+M50+M56+M248+M251+M254+M419+M505+M596+M649+M682+M1611+M646</f>
        <v>3952393.0130000003</v>
      </c>
      <c r="N38" s="479">
        <f>N39+N50+N56+N248+N251+N254+N419+N505+N596+N649+N682+N1611+N646</f>
        <v>8061461.1189999999</v>
      </c>
      <c r="P38" s="1196"/>
      <c r="Q38" s="203"/>
      <c r="R38" s="479">
        <f>R39+R50+R56+R248+R251+R254+R419+R505+R596+R649+R682+R1611+R646</f>
        <v>4055434.2444699998</v>
      </c>
      <c r="S38" s="479">
        <f>S39+S50+S56+S248+S251+S254+S419+S505+S596+S649+S682+S1611+S646</f>
        <v>3849332.8039699998</v>
      </c>
      <c r="T38" s="1110"/>
      <c r="U38" s="1014"/>
      <c r="V38" s="1014"/>
    </row>
    <row r="39" spans="1:22">
      <c r="B39" s="1197" t="s">
        <v>165</v>
      </c>
      <c r="C39" s="1197"/>
      <c r="D39" s="49"/>
      <c r="E39" s="50"/>
      <c r="F39" s="50"/>
      <c r="G39" s="48"/>
      <c r="H39" s="49"/>
      <c r="I39" s="598"/>
      <c r="J39" s="601"/>
      <c r="K39" s="473"/>
      <c r="L39" s="473">
        <f>SUM(L41:L48)</f>
        <v>37600</v>
      </c>
      <c r="M39" s="473"/>
      <c r="N39" s="473">
        <f>SUM(N41:N48)</f>
        <v>37600</v>
      </c>
      <c r="O39" s="1130"/>
      <c r="P39" s="1196"/>
      <c r="Q39" s="1136"/>
      <c r="R39" s="473">
        <f t="shared" ref="R39:S39" si="10">SUM(R41:R48)</f>
        <v>20100</v>
      </c>
      <c r="S39" s="473">
        <f t="shared" si="10"/>
        <v>13125</v>
      </c>
      <c r="T39" s="1110"/>
      <c r="U39" s="1014"/>
      <c r="V39" s="1014"/>
    </row>
    <row r="40" spans="1:22">
      <c r="B40" s="1197"/>
      <c r="C40" s="1197"/>
      <c r="D40" s="49"/>
      <c r="E40" s="50"/>
      <c r="F40" s="50"/>
      <c r="G40" s="48"/>
      <c r="H40" s="49"/>
      <c r="I40" s="186">
        <v>239908</v>
      </c>
      <c r="J40" s="601"/>
      <c r="K40" s="608"/>
      <c r="L40" s="608">
        <f>SUM(L41:L46)</f>
        <v>30600</v>
      </c>
      <c r="M40" s="608"/>
      <c r="N40" s="608">
        <f>SUM(N41:N46)</f>
        <v>30600</v>
      </c>
      <c r="O40" s="1130">
        <f>I40+N40</f>
        <v>270508</v>
      </c>
      <c r="P40" s="1196"/>
      <c r="Q40" s="1136"/>
      <c r="R40" s="608">
        <f t="shared" ref="R40:S40" si="11">SUM(R41:R46)</f>
        <v>16100</v>
      </c>
      <c r="S40" s="608">
        <f t="shared" si="11"/>
        <v>9125</v>
      </c>
      <c r="T40" s="1110"/>
      <c r="U40" s="1014"/>
      <c r="V40" s="1014"/>
    </row>
    <row r="41" spans="1:22" ht="30">
      <c r="B41" s="227" t="s">
        <v>2838</v>
      </c>
      <c r="C41" s="227"/>
      <c r="D41" s="182" t="s">
        <v>2839</v>
      </c>
      <c r="E41" s="419">
        <v>41121</v>
      </c>
      <c r="F41" s="419" t="s">
        <v>5844</v>
      </c>
      <c r="G41" s="185" t="s">
        <v>5845</v>
      </c>
      <c r="H41" s="213"/>
      <c r="J41" s="601"/>
      <c r="K41" s="49"/>
      <c r="L41" s="186">
        <v>7000</v>
      </c>
      <c r="M41" s="203"/>
      <c r="N41" s="203">
        <f t="shared" ref="N41:N48" si="12">SUM(K41:M41)</f>
        <v>7000</v>
      </c>
      <c r="O41" s="1130"/>
      <c r="P41" s="647" t="s">
        <v>2820</v>
      </c>
      <c r="Q41" s="1136" t="s">
        <v>105</v>
      </c>
      <c r="R41" s="1000"/>
      <c r="S41" s="1000"/>
      <c r="T41" s="1110"/>
      <c r="U41" s="1014"/>
      <c r="V41" s="31" t="s">
        <v>168</v>
      </c>
    </row>
    <row r="42" spans="1:22" ht="30">
      <c r="B42" s="227" t="s">
        <v>2840</v>
      </c>
      <c r="C42" s="227"/>
      <c r="D42" s="182" t="s">
        <v>2841</v>
      </c>
      <c r="E42" s="419">
        <v>41131</v>
      </c>
      <c r="F42" s="419" t="s">
        <v>5165</v>
      </c>
      <c r="G42" s="298" t="s">
        <v>1166</v>
      </c>
      <c r="H42" s="213"/>
      <c r="I42" s="598"/>
      <c r="J42" s="601"/>
      <c r="K42" s="49"/>
      <c r="L42" s="186">
        <v>7500</v>
      </c>
      <c r="M42" s="203"/>
      <c r="N42" s="203">
        <f t="shared" si="12"/>
        <v>7500</v>
      </c>
      <c r="O42" s="1130"/>
      <c r="P42" s="647" t="s">
        <v>2820</v>
      </c>
      <c r="Q42" s="1136" t="s">
        <v>105</v>
      </c>
      <c r="R42" s="1107">
        <v>7500</v>
      </c>
      <c r="S42" s="1107">
        <v>1125</v>
      </c>
      <c r="T42" s="1110"/>
      <c r="U42" s="1014"/>
      <c r="V42" s="31" t="s">
        <v>168</v>
      </c>
    </row>
    <row r="43" spans="1:22" ht="30">
      <c r="B43" s="227" t="s">
        <v>2842</v>
      </c>
      <c r="C43" s="227"/>
      <c r="D43" s="182" t="s">
        <v>2843</v>
      </c>
      <c r="E43" s="419">
        <v>41173</v>
      </c>
      <c r="F43" s="419" t="s">
        <v>5165</v>
      </c>
      <c r="G43" s="298" t="s">
        <v>1166</v>
      </c>
      <c r="H43" s="213"/>
      <c r="I43" s="598"/>
      <c r="J43" s="601"/>
      <c r="K43" s="49"/>
      <c r="L43" s="186">
        <v>5000</v>
      </c>
      <c r="M43" s="203"/>
      <c r="N43" s="203">
        <f t="shared" si="12"/>
        <v>5000</v>
      </c>
      <c r="O43" s="1130"/>
      <c r="P43" s="647" t="s">
        <v>2820</v>
      </c>
      <c r="Q43" s="1136" t="s">
        <v>105</v>
      </c>
      <c r="R43" s="1107">
        <v>5000</v>
      </c>
      <c r="S43" s="1107">
        <v>5000</v>
      </c>
      <c r="T43" s="1110"/>
      <c r="U43" s="1014"/>
      <c r="V43" s="31" t="s">
        <v>168</v>
      </c>
    </row>
    <row r="44" spans="1:22">
      <c r="B44" s="227" t="s">
        <v>2844</v>
      </c>
      <c r="C44" s="227"/>
      <c r="D44" s="77" t="s">
        <v>2845</v>
      </c>
      <c r="E44" s="78">
        <v>41289</v>
      </c>
      <c r="F44" s="419" t="s">
        <v>5165</v>
      </c>
      <c r="G44" s="298" t="s">
        <v>1166</v>
      </c>
      <c r="H44" s="185"/>
      <c r="I44" s="598"/>
      <c r="J44" s="601"/>
      <c r="K44" s="49"/>
      <c r="L44" s="264">
        <v>3000</v>
      </c>
      <c r="M44" s="203"/>
      <c r="N44" s="203">
        <f t="shared" si="12"/>
        <v>3000</v>
      </c>
      <c r="O44" s="1130"/>
      <c r="P44" s="1196"/>
      <c r="Q44" s="1136"/>
      <c r="R44" s="1000">
        <v>3000</v>
      </c>
      <c r="S44" s="1000">
        <v>3000</v>
      </c>
      <c r="T44" s="1110"/>
      <c r="U44" s="1014"/>
    </row>
    <row r="45" spans="1:22" ht="30">
      <c r="B45" s="227" t="s">
        <v>2846</v>
      </c>
      <c r="C45" s="227"/>
      <c r="D45" s="77" t="s">
        <v>2847</v>
      </c>
      <c r="E45" s="78">
        <v>41347</v>
      </c>
      <c r="F45" s="419" t="s">
        <v>5165</v>
      </c>
      <c r="G45" s="298" t="s">
        <v>1166</v>
      </c>
      <c r="H45" s="185"/>
      <c r="I45" s="598"/>
      <c r="J45" s="601"/>
      <c r="K45" s="49"/>
      <c r="L45" s="264">
        <v>600</v>
      </c>
      <c r="M45" s="203"/>
      <c r="N45" s="203">
        <f t="shared" si="12"/>
        <v>600</v>
      </c>
      <c r="O45" s="1130"/>
      <c r="P45" s="1196"/>
      <c r="Q45" s="1136"/>
      <c r="R45" s="1000">
        <v>600</v>
      </c>
      <c r="S45" s="1000"/>
      <c r="T45" s="1110"/>
      <c r="U45" s="1014"/>
    </row>
    <row r="46" spans="1:22" ht="30">
      <c r="B46" s="227" t="s">
        <v>2848</v>
      </c>
      <c r="C46" s="227"/>
      <c r="D46" s="77" t="s">
        <v>2849</v>
      </c>
      <c r="E46" s="78">
        <v>41432</v>
      </c>
      <c r="F46" s="419" t="s">
        <v>5165</v>
      </c>
      <c r="G46" s="298" t="s">
        <v>1166</v>
      </c>
      <c r="H46" s="185"/>
      <c r="I46" s="598"/>
      <c r="J46" s="601"/>
      <c r="K46" s="49"/>
      <c r="L46" s="264">
        <v>7500</v>
      </c>
      <c r="M46" s="203"/>
      <c r="N46" s="203">
        <f t="shared" si="12"/>
        <v>7500</v>
      </c>
      <c r="O46" s="1130"/>
      <c r="P46" s="1196"/>
      <c r="Q46" s="1136"/>
      <c r="R46" s="1000"/>
      <c r="S46" s="1000"/>
      <c r="T46" s="1110"/>
      <c r="U46" s="1014"/>
    </row>
    <row r="47" spans="1:22" ht="30">
      <c r="B47" s="227" t="s">
        <v>2850</v>
      </c>
      <c r="C47" s="227"/>
      <c r="D47" s="182" t="s">
        <v>2851</v>
      </c>
      <c r="E47" s="419">
        <v>41221</v>
      </c>
      <c r="F47" s="419" t="s">
        <v>5846</v>
      </c>
      <c r="G47" s="298" t="s">
        <v>5847</v>
      </c>
      <c r="H47" s="213"/>
      <c r="I47" s="186">
        <v>10245498</v>
      </c>
      <c r="J47" s="186"/>
      <c r="K47" s="186"/>
      <c r="L47" s="186">
        <v>3000</v>
      </c>
      <c r="M47" s="203"/>
      <c r="N47" s="203">
        <f t="shared" si="12"/>
        <v>3000</v>
      </c>
      <c r="O47" s="186">
        <f>I47+N47</f>
        <v>10248498</v>
      </c>
      <c r="P47" s="647" t="s">
        <v>2820</v>
      </c>
      <c r="Q47" s="1136" t="s">
        <v>105</v>
      </c>
      <c r="R47" s="1000"/>
      <c r="S47" s="1000"/>
      <c r="T47" s="1110"/>
      <c r="U47" s="1014"/>
      <c r="V47" s="31" t="s">
        <v>168</v>
      </c>
    </row>
    <row r="48" spans="1:22" ht="30">
      <c r="B48" s="227" t="s">
        <v>5849</v>
      </c>
      <c r="C48" s="227"/>
      <c r="D48" s="182" t="s">
        <v>2852</v>
      </c>
      <c r="E48" s="419">
        <v>41110</v>
      </c>
      <c r="F48" s="419" t="s">
        <v>5015</v>
      </c>
      <c r="G48" s="1103" t="s">
        <v>5848</v>
      </c>
      <c r="H48" s="1103"/>
      <c r="I48" s="203">
        <v>926867</v>
      </c>
      <c r="J48" s="186"/>
      <c r="K48" s="186"/>
      <c r="L48" s="203">
        <v>4000</v>
      </c>
      <c r="M48" s="582"/>
      <c r="N48" s="203">
        <f t="shared" si="12"/>
        <v>4000</v>
      </c>
      <c r="O48" s="203">
        <f>I48+N48</f>
        <v>930867</v>
      </c>
      <c r="P48" s="647" t="s">
        <v>2820</v>
      </c>
      <c r="Q48" s="1136" t="s">
        <v>103</v>
      </c>
      <c r="R48" s="1107">
        <v>4000</v>
      </c>
      <c r="S48" s="1107">
        <v>4000</v>
      </c>
      <c r="T48" s="1110"/>
      <c r="U48" s="1014"/>
      <c r="V48" s="31" t="s">
        <v>2853</v>
      </c>
    </row>
    <row r="49" spans="2:22">
      <c r="B49" s="227"/>
      <c r="C49" s="227"/>
      <c r="D49" s="182"/>
      <c r="E49" s="419"/>
      <c r="F49" s="419"/>
      <c r="G49" s="1103"/>
      <c r="H49" s="1103"/>
      <c r="I49" s="203"/>
      <c r="J49" s="186"/>
      <c r="K49" s="186"/>
      <c r="L49" s="203"/>
      <c r="M49" s="582"/>
      <c r="N49" s="203"/>
      <c r="O49" s="203"/>
      <c r="P49" s="1196"/>
      <c r="Q49" s="203"/>
      <c r="R49" s="1000"/>
      <c r="S49" s="1000"/>
      <c r="T49" s="1110"/>
      <c r="U49" s="1014"/>
      <c r="V49" s="31"/>
    </row>
    <row r="50" spans="2:22">
      <c r="B50" s="1197" t="s">
        <v>169</v>
      </c>
      <c r="C50" s="1197"/>
      <c r="D50" s="49"/>
      <c r="E50" s="50"/>
      <c r="F50" s="50"/>
      <c r="G50" s="48"/>
      <c r="H50" s="49"/>
      <c r="I50" s="598"/>
      <c r="J50" s="601"/>
      <c r="K50" s="473"/>
      <c r="L50" s="473">
        <f>SUM(L51:L54)</f>
        <v>11200</v>
      </c>
      <c r="M50" s="473">
        <f t="shared" ref="M50:N50" si="13">SUM(M51:M54)</f>
        <v>528</v>
      </c>
      <c r="N50" s="473">
        <f t="shared" si="13"/>
        <v>11728</v>
      </c>
      <c r="O50" s="1130"/>
      <c r="P50" s="1196"/>
      <c r="Q50" s="1136"/>
      <c r="R50" s="473">
        <f t="shared" ref="R50:S50" si="14">SUM(R51:R54)</f>
        <v>5830</v>
      </c>
      <c r="S50" s="473">
        <f t="shared" si="14"/>
        <v>5830</v>
      </c>
      <c r="T50" s="1110"/>
      <c r="U50" s="1014"/>
      <c r="V50" s="1014"/>
    </row>
    <row r="51" spans="2:22" ht="60">
      <c r="B51" s="227" t="s">
        <v>2854</v>
      </c>
      <c r="C51" s="227"/>
      <c r="D51" s="182" t="s">
        <v>2855</v>
      </c>
      <c r="E51" s="419">
        <v>41121</v>
      </c>
      <c r="F51" s="419" t="s">
        <v>4963</v>
      </c>
      <c r="G51" s="185" t="s">
        <v>5850</v>
      </c>
      <c r="H51" s="298"/>
      <c r="I51" s="230">
        <v>291428</v>
      </c>
      <c r="J51" s="230"/>
      <c r="K51" s="49"/>
      <c r="L51" s="230">
        <v>6500</v>
      </c>
      <c r="M51" s="203"/>
      <c r="N51" s="321">
        <f>SUM(K51:M51)</f>
        <v>6500</v>
      </c>
      <c r="O51" s="1178">
        <f>N51+I51</f>
        <v>297928</v>
      </c>
      <c r="P51" s="647" t="s">
        <v>2820</v>
      </c>
      <c r="Q51" s="1136" t="s">
        <v>105</v>
      </c>
      <c r="R51" s="1001">
        <f>1479+83</f>
        <v>1562</v>
      </c>
      <c r="S51" s="1001">
        <f>1479+83</f>
        <v>1562</v>
      </c>
      <c r="T51" s="1002"/>
      <c r="U51" s="892"/>
      <c r="V51" s="12" t="s">
        <v>175</v>
      </c>
    </row>
    <row r="52" spans="2:22" ht="30">
      <c r="B52" s="227" t="s">
        <v>2856</v>
      </c>
      <c r="C52" s="227"/>
      <c r="D52" s="182" t="s">
        <v>2857</v>
      </c>
      <c r="E52" s="419">
        <v>41194</v>
      </c>
      <c r="F52" s="419" t="s">
        <v>3260</v>
      </c>
      <c r="G52" s="298" t="s">
        <v>5851</v>
      </c>
      <c r="H52" s="298"/>
      <c r="I52" s="211">
        <v>2887164</v>
      </c>
      <c r="J52" s="609"/>
      <c r="K52" s="49"/>
      <c r="L52" s="186"/>
      <c r="M52" s="203">
        <v>192</v>
      </c>
      <c r="N52" s="203">
        <f>SUM(K52:M52)</f>
        <v>192</v>
      </c>
      <c r="O52" s="1179">
        <f>N52+I52</f>
        <v>2887356</v>
      </c>
      <c r="P52" s="647" t="s">
        <v>2820</v>
      </c>
      <c r="Q52" s="1136" t="s">
        <v>105</v>
      </c>
      <c r="R52" s="1001">
        <v>184</v>
      </c>
      <c r="S52" s="1001">
        <v>184</v>
      </c>
      <c r="T52" s="1002" t="s">
        <v>2858</v>
      </c>
      <c r="U52" s="892"/>
      <c r="V52" s="12" t="s">
        <v>2859</v>
      </c>
    </row>
    <row r="53" spans="2:22" ht="30">
      <c r="B53" s="227" t="s">
        <v>2860</v>
      </c>
      <c r="C53" s="227"/>
      <c r="D53" s="77" t="s">
        <v>2861</v>
      </c>
      <c r="E53" s="78">
        <v>41289</v>
      </c>
      <c r="F53" s="78" t="s">
        <v>5852</v>
      </c>
      <c r="G53" s="185" t="s">
        <v>5853</v>
      </c>
      <c r="H53" s="185"/>
      <c r="I53" s="67">
        <v>2630299</v>
      </c>
      <c r="J53" s="607"/>
      <c r="K53" s="49"/>
      <c r="L53" s="186">
        <v>4700</v>
      </c>
      <c r="M53" s="186"/>
      <c r="N53" s="264">
        <f>SUM(K53:M53)</f>
        <v>4700</v>
      </c>
      <c r="O53" s="1205">
        <f>N53+I53</f>
        <v>2634999</v>
      </c>
      <c r="P53" s="647" t="s">
        <v>2820</v>
      </c>
      <c r="Q53" s="1136" t="s">
        <v>105</v>
      </c>
      <c r="R53" s="1001">
        <v>3763</v>
      </c>
      <c r="S53" s="1001">
        <v>3763</v>
      </c>
      <c r="T53" s="1002" t="s">
        <v>2862</v>
      </c>
      <c r="U53" s="892"/>
      <c r="V53" s="12" t="s">
        <v>2863</v>
      </c>
    </row>
    <row r="54" spans="2:22" ht="30">
      <c r="B54" s="227" t="s">
        <v>2864</v>
      </c>
      <c r="C54" s="227"/>
      <c r="D54" s="77" t="s">
        <v>2865</v>
      </c>
      <c r="E54" s="78">
        <v>41295</v>
      </c>
      <c r="F54" s="78" t="s">
        <v>5854</v>
      </c>
      <c r="G54" s="185" t="s">
        <v>5855</v>
      </c>
      <c r="H54" s="185"/>
      <c r="I54" s="67">
        <v>11770</v>
      </c>
      <c r="J54" s="607"/>
      <c r="K54" s="49"/>
      <c r="L54" s="264"/>
      <c r="M54" s="264">
        <v>336</v>
      </c>
      <c r="N54" s="264">
        <f>SUM(K54:M54)</f>
        <v>336</v>
      </c>
      <c r="O54" s="1205">
        <f>N54+I54</f>
        <v>12106</v>
      </c>
      <c r="P54" s="647" t="s">
        <v>2820</v>
      </c>
      <c r="Q54" s="1136" t="s">
        <v>105</v>
      </c>
      <c r="R54" s="1001">
        <v>321</v>
      </c>
      <c r="S54" s="1001">
        <v>321</v>
      </c>
      <c r="T54" s="1002" t="s">
        <v>2866</v>
      </c>
      <c r="U54" s="892"/>
      <c r="V54" s="12" t="s">
        <v>2867</v>
      </c>
    </row>
    <row r="55" spans="2:22">
      <c r="B55" s="227"/>
      <c r="C55" s="227"/>
      <c r="D55" s="182"/>
      <c r="E55" s="419"/>
      <c r="F55" s="419"/>
      <c r="G55" s="298"/>
      <c r="H55" s="298"/>
      <c r="I55" s="211"/>
      <c r="J55" s="609"/>
      <c r="K55" s="49"/>
      <c r="L55" s="186"/>
      <c r="M55" s="203"/>
      <c r="N55" s="203"/>
      <c r="O55" s="1179"/>
      <c r="P55" s="892"/>
      <c r="Q55" s="1179"/>
      <c r="R55" s="1001"/>
      <c r="S55" s="1001"/>
      <c r="T55" s="1002"/>
      <c r="U55" s="892"/>
      <c r="V55" s="12"/>
    </row>
    <row r="56" spans="2:22">
      <c r="B56" s="1197" t="s">
        <v>2868</v>
      </c>
      <c r="C56" s="1197"/>
      <c r="D56" s="49"/>
      <c r="E56" s="50"/>
      <c r="F56" s="50"/>
      <c r="G56" s="48"/>
      <c r="H56" s="49"/>
      <c r="I56" s="598"/>
      <c r="J56" s="601"/>
      <c r="K56" s="600"/>
      <c r="L56" s="600">
        <f>L57+L91+L95+L113+L122+L137+L148+L157+L175+L186+L194+L216+L224+L236+L240+L244</f>
        <v>238774.89499999999</v>
      </c>
      <c r="M56" s="600">
        <f>M57+M91+M95+M113+M122+M137+M148+M157+M175+M186+M194+M216+M224+M236+M240+M244</f>
        <v>1000</v>
      </c>
      <c r="N56" s="600">
        <f>N57+N91+N95+N113+N122+N137+N148+N157+N175+N186+N194+N216+N224+N236+N240+N244</f>
        <v>239774.89499999999</v>
      </c>
      <c r="O56" s="1130"/>
      <c r="P56" s="1196"/>
      <c r="Q56" s="1136"/>
      <c r="R56" s="600">
        <f>R57+R91+R95+R113+R122+R137+R148+R157+R175+R186+R194+R216+R224+R236+R240+R244</f>
        <v>175422</v>
      </c>
      <c r="S56" s="600">
        <f>S57+S91+S95+S113+S122+S137+S148+S157+S175+S186+S194+S216+S224+S236+S240+S244</f>
        <v>146481</v>
      </c>
      <c r="T56" s="1110"/>
      <c r="U56" s="1014"/>
      <c r="V56" s="1014"/>
    </row>
    <row r="57" spans="2:22">
      <c r="B57" s="1206" t="s">
        <v>331</v>
      </c>
      <c r="C57" s="1206"/>
      <c r="D57" s="49"/>
      <c r="E57" s="50"/>
      <c r="F57" s="50"/>
      <c r="G57" s="48"/>
      <c r="H57" s="49"/>
      <c r="I57" s="598"/>
      <c r="J57" s="601"/>
      <c r="K57" s="600"/>
      <c r="L57" s="600">
        <f>L58+L63+L66</f>
        <v>25170</v>
      </c>
      <c r="M57" s="600"/>
      <c r="N57" s="600">
        <f>N58+N63+N66</f>
        <v>25170</v>
      </c>
      <c r="O57" s="1130"/>
      <c r="P57" s="1196"/>
      <c r="Q57" s="1136"/>
      <c r="R57" s="600">
        <f>R58+R63+R66</f>
        <v>6760</v>
      </c>
      <c r="S57" s="600">
        <f>S58+S63+S66</f>
        <v>560</v>
      </c>
      <c r="T57" s="1110"/>
      <c r="U57" s="1014"/>
      <c r="V57" s="1014"/>
    </row>
    <row r="58" spans="2:22">
      <c r="B58" s="1207" t="s">
        <v>1395</v>
      </c>
      <c r="C58" s="1207"/>
      <c r="D58" s="494"/>
      <c r="E58" s="495"/>
      <c r="F58" s="495"/>
      <c r="G58" s="262"/>
      <c r="H58" s="493"/>
      <c r="I58" s="1208">
        <v>476905</v>
      </c>
      <c r="J58" s="1209"/>
      <c r="K58" s="473"/>
      <c r="L58" s="473">
        <f>SUM(L59:L61)</f>
        <v>6260</v>
      </c>
      <c r="M58" s="473"/>
      <c r="N58" s="473">
        <f t="shared" ref="N58" si="15">SUM(N59:N61)</f>
        <v>6260</v>
      </c>
      <c r="O58" s="622">
        <f>I58+N58</f>
        <v>483165</v>
      </c>
      <c r="Q58" s="623"/>
      <c r="R58" s="473">
        <f t="shared" ref="R58:S58" si="16">SUM(R59:R61)</f>
        <v>6260</v>
      </c>
      <c r="S58" s="473">
        <f t="shared" si="16"/>
        <v>213</v>
      </c>
    </row>
    <row r="59" spans="2:22" ht="30">
      <c r="B59" s="610" t="s">
        <v>181</v>
      </c>
      <c r="C59" s="610"/>
      <c r="D59" s="252" t="s">
        <v>2870</v>
      </c>
      <c r="E59" s="483">
        <v>41121</v>
      </c>
      <c r="F59" s="483" t="s">
        <v>5856</v>
      </c>
      <c r="G59" s="251" t="s">
        <v>5857</v>
      </c>
      <c r="H59" s="251"/>
      <c r="I59" s="1037"/>
      <c r="J59" s="1210"/>
      <c r="K59" s="253"/>
      <c r="L59" s="253">
        <v>3000</v>
      </c>
      <c r="M59" s="611"/>
      <c r="N59" s="611">
        <f>SUM(K59:M59)</f>
        <v>3000</v>
      </c>
      <c r="O59" s="1082"/>
      <c r="P59" s="647" t="s">
        <v>2820</v>
      </c>
      <c r="Q59" s="1136" t="s">
        <v>105</v>
      </c>
      <c r="R59" s="1003">
        <v>3000</v>
      </c>
      <c r="S59" s="1003"/>
      <c r="T59" s="1115"/>
      <c r="U59" s="31"/>
      <c r="V59" s="31" t="s">
        <v>2871</v>
      </c>
    </row>
    <row r="60" spans="2:22" ht="30">
      <c r="B60" s="610" t="s">
        <v>181</v>
      </c>
      <c r="C60" s="612"/>
      <c r="D60" s="252" t="s">
        <v>2872</v>
      </c>
      <c r="E60" s="483">
        <v>41263</v>
      </c>
      <c r="F60" s="483" t="s">
        <v>5856</v>
      </c>
      <c r="G60" s="251" t="s">
        <v>5857</v>
      </c>
      <c r="H60" s="262"/>
      <c r="I60" s="486"/>
      <c r="J60" s="1211"/>
      <c r="K60" s="260"/>
      <c r="L60" s="260">
        <v>3000</v>
      </c>
      <c r="M60" s="613"/>
      <c r="N60" s="611">
        <f>SUM(K60:M60)</f>
        <v>3000</v>
      </c>
      <c r="O60" s="1082"/>
      <c r="P60" s="647" t="s">
        <v>2820</v>
      </c>
      <c r="Q60" s="1136" t="s">
        <v>105</v>
      </c>
      <c r="R60" s="1003">
        <v>3000</v>
      </c>
      <c r="S60" s="1003">
        <v>213</v>
      </c>
      <c r="T60" s="1115"/>
      <c r="U60" s="31"/>
      <c r="V60" s="31" t="s">
        <v>2871</v>
      </c>
    </row>
    <row r="61" spans="2:22">
      <c r="B61" s="612" t="s">
        <v>181</v>
      </c>
      <c r="C61" s="612"/>
      <c r="D61" s="614" t="s">
        <v>2873</v>
      </c>
      <c r="E61" s="495">
        <v>41311</v>
      </c>
      <c r="F61" s="483" t="s">
        <v>5856</v>
      </c>
      <c r="G61" s="251" t="s">
        <v>5857</v>
      </c>
      <c r="H61" s="262"/>
      <c r="I61" s="486"/>
      <c r="J61" s="1211"/>
      <c r="K61" s="112"/>
      <c r="L61" s="615">
        <v>260</v>
      </c>
      <c r="M61" s="616"/>
      <c r="N61" s="615">
        <f>SUM(K61:M61)</f>
        <v>260</v>
      </c>
      <c r="O61" s="1082"/>
      <c r="Q61" s="328"/>
      <c r="R61" s="1003">
        <v>260</v>
      </c>
      <c r="S61" s="1003"/>
      <c r="T61" s="1115"/>
      <c r="U61" s="31"/>
      <c r="V61" s="31" t="s">
        <v>2871</v>
      </c>
    </row>
    <row r="62" spans="2:22">
      <c r="B62" s="617"/>
      <c r="C62" s="617"/>
      <c r="D62" s="618"/>
      <c r="E62" s="619"/>
      <c r="F62" s="619"/>
      <c r="G62" s="617"/>
      <c r="H62" s="617"/>
      <c r="I62" s="715"/>
      <c r="J62" s="1212"/>
      <c r="K62" s="715"/>
      <c r="L62" s="620"/>
      <c r="M62" s="620"/>
      <c r="N62" s="620"/>
    </row>
    <row r="63" spans="2:22">
      <c r="B63" s="1207" t="s">
        <v>2874</v>
      </c>
      <c r="C63" s="1207"/>
      <c r="K63" s="473"/>
      <c r="L63" s="473">
        <f>L64</f>
        <v>500</v>
      </c>
      <c r="M63" s="473"/>
      <c r="N63" s="473">
        <f t="shared" ref="N63" si="17">N64</f>
        <v>500</v>
      </c>
      <c r="R63" s="473">
        <f t="shared" ref="R63:S63" si="18">R64</f>
        <v>500</v>
      </c>
      <c r="S63" s="473">
        <f t="shared" si="18"/>
        <v>347</v>
      </c>
    </row>
    <row r="64" spans="2:22" ht="90">
      <c r="B64" s="612" t="s">
        <v>181</v>
      </c>
      <c r="C64" s="612"/>
      <c r="D64" s="252" t="s">
        <v>2875</v>
      </c>
      <c r="E64" s="621">
        <v>41263</v>
      </c>
      <c r="F64" s="483" t="s">
        <v>5856</v>
      </c>
      <c r="G64" s="251" t="s">
        <v>5857</v>
      </c>
      <c r="H64" s="251"/>
      <c r="I64" s="722">
        <v>215635</v>
      </c>
      <c r="J64" s="1214"/>
      <c r="K64" s="715"/>
      <c r="L64" s="253">
        <v>500</v>
      </c>
      <c r="M64" s="611"/>
      <c r="N64" s="611">
        <f>SUM(K64:M64)</f>
        <v>500</v>
      </c>
      <c r="O64" s="622">
        <f>I64+N64</f>
        <v>216135</v>
      </c>
      <c r="P64" s="647" t="s">
        <v>2820</v>
      </c>
      <c r="Q64" s="1136" t="s">
        <v>105</v>
      </c>
      <c r="R64" s="1003">
        <v>500</v>
      </c>
      <c r="S64" s="1003">
        <v>347</v>
      </c>
      <c r="T64" s="1115" t="s">
        <v>2876</v>
      </c>
      <c r="V64" s="31" t="s">
        <v>2877</v>
      </c>
    </row>
    <row r="65" spans="2:22">
      <c r="B65" s="715"/>
      <c r="C65" s="715"/>
      <c r="D65" s="817"/>
      <c r="E65" s="1215"/>
      <c r="F65" s="1215"/>
      <c r="G65" s="715"/>
      <c r="H65" s="715"/>
      <c r="I65" s="715"/>
      <c r="J65" s="1212"/>
      <c r="K65" s="715"/>
      <c r="L65" s="715"/>
      <c r="M65" s="715"/>
      <c r="N65" s="715"/>
    </row>
    <row r="66" spans="2:22">
      <c r="B66" s="1207" t="s">
        <v>1368</v>
      </c>
      <c r="C66" s="1102"/>
      <c r="D66" s="618"/>
      <c r="E66" s="619"/>
      <c r="F66" s="619"/>
      <c r="G66" s="1115"/>
      <c r="H66" s="1133"/>
      <c r="I66" s="722"/>
      <c r="J66" s="1214"/>
      <c r="K66" s="473"/>
      <c r="L66" s="473">
        <f>SUM(L67:L89)</f>
        <v>18410</v>
      </c>
      <c r="M66" s="473"/>
      <c r="N66" s="473">
        <f>SUM(N67:N89)</f>
        <v>18410</v>
      </c>
      <c r="O66" s="622"/>
      <c r="Q66" s="623"/>
      <c r="R66" s="473">
        <f t="shared" ref="R66:S66" si="19">SUM(R67:R89)</f>
        <v>0</v>
      </c>
      <c r="S66" s="473">
        <f t="shared" si="19"/>
        <v>0</v>
      </c>
    </row>
    <row r="67" spans="2:22" ht="30">
      <c r="B67" s="612" t="s">
        <v>2683</v>
      </c>
      <c r="C67" s="612"/>
      <c r="D67" s="252" t="s">
        <v>2879</v>
      </c>
      <c r="E67" s="621">
        <v>41121</v>
      </c>
      <c r="F67" s="621" t="s">
        <v>4973</v>
      </c>
      <c r="G67" s="404" t="s">
        <v>5733</v>
      </c>
      <c r="H67" s="251"/>
      <c r="L67" s="253">
        <v>500</v>
      </c>
      <c r="M67" s="611"/>
      <c r="N67" s="611">
        <f t="shared" ref="N67:N89" si="20">SUM(I67:M67)</f>
        <v>500</v>
      </c>
      <c r="O67" s="715"/>
      <c r="P67" s="647" t="s">
        <v>2820</v>
      </c>
      <c r="Q67" s="1136" t="s">
        <v>105</v>
      </c>
      <c r="V67" s="12" t="s">
        <v>192</v>
      </c>
    </row>
    <row r="68" spans="2:22" ht="30">
      <c r="B68" s="612" t="s">
        <v>2683</v>
      </c>
      <c r="C68" s="612"/>
      <c r="D68" s="252" t="s">
        <v>2880</v>
      </c>
      <c r="E68" s="621">
        <v>41121</v>
      </c>
      <c r="F68" s="621" t="s">
        <v>4973</v>
      </c>
      <c r="G68" s="404" t="s">
        <v>5733</v>
      </c>
      <c r="H68" s="251"/>
      <c r="I68" s="722"/>
      <c r="J68" s="1214"/>
      <c r="L68" s="253">
        <v>500</v>
      </c>
      <c r="M68" s="611"/>
      <c r="N68" s="611">
        <f t="shared" si="20"/>
        <v>500</v>
      </c>
      <c r="O68" s="715"/>
      <c r="P68" s="647" t="s">
        <v>2820</v>
      </c>
      <c r="Q68" s="1136" t="s">
        <v>105</v>
      </c>
      <c r="V68" s="12" t="s">
        <v>192</v>
      </c>
    </row>
    <row r="69" spans="2:22" ht="30">
      <c r="B69" s="612" t="s">
        <v>2683</v>
      </c>
      <c r="C69" s="612"/>
      <c r="D69" s="252" t="s">
        <v>2881</v>
      </c>
      <c r="E69" s="621">
        <v>41124</v>
      </c>
      <c r="F69" s="621" t="s">
        <v>4973</v>
      </c>
      <c r="G69" s="404" t="s">
        <v>5733</v>
      </c>
      <c r="H69" s="251"/>
      <c r="I69" s="722"/>
      <c r="J69" s="1214"/>
      <c r="L69" s="253">
        <v>1000</v>
      </c>
      <c r="M69" s="611"/>
      <c r="N69" s="611">
        <f t="shared" si="20"/>
        <v>1000</v>
      </c>
      <c r="O69" s="715"/>
      <c r="P69" s="647" t="s">
        <v>2820</v>
      </c>
      <c r="Q69" s="1136" t="s">
        <v>105</v>
      </c>
      <c r="V69" s="12" t="s">
        <v>192</v>
      </c>
    </row>
    <row r="70" spans="2:22" ht="30">
      <c r="B70" s="612" t="s">
        <v>2683</v>
      </c>
      <c r="C70" s="612"/>
      <c r="D70" s="252" t="s">
        <v>2882</v>
      </c>
      <c r="E70" s="621">
        <v>41131</v>
      </c>
      <c r="F70" s="621" t="s">
        <v>4973</v>
      </c>
      <c r="G70" s="404" t="s">
        <v>5858</v>
      </c>
      <c r="H70" s="251"/>
      <c r="I70" s="722"/>
      <c r="J70" s="1214"/>
      <c r="L70" s="253">
        <v>100</v>
      </c>
      <c r="M70" s="611"/>
      <c r="N70" s="611">
        <f t="shared" si="20"/>
        <v>100</v>
      </c>
      <c r="O70" s="715"/>
      <c r="P70" s="647" t="s">
        <v>2820</v>
      </c>
      <c r="Q70" s="1136" t="s">
        <v>105</v>
      </c>
      <c r="V70" s="12" t="s">
        <v>192</v>
      </c>
    </row>
    <row r="71" spans="2:22" ht="30">
      <c r="B71" s="612" t="s">
        <v>2683</v>
      </c>
      <c r="C71" s="612"/>
      <c r="D71" s="252" t="s">
        <v>2883</v>
      </c>
      <c r="E71" s="621">
        <v>41134</v>
      </c>
      <c r="F71" s="621" t="s">
        <v>4973</v>
      </c>
      <c r="G71" s="404" t="s">
        <v>5733</v>
      </c>
      <c r="H71" s="251"/>
      <c r="I71" s="722"/>
      <c r="J71" s="1214"/>
      <c r="L71" s="253">
        <v>500</v>
      </c>
      <c r="M71" s="611"/>
      <c r="N71" s="611">
        <f t="shared" si="20"/>
        <v>500</v>
      </c>
      <c r="O71" s="715"/>
      <c r="P71" s="647" t="s">
        <v>2820</v>
      </c>
      <c r="Q71" s="1136" t="s">
        <v>105</v>
      </c>
      <c r="V71" s="12" t="s">
        <v>192</v>
      </c>
    </row>
    <row r="72" spans="2:22" ht="30">
      <c r="B72" s="612" t="s">
        <v>2683</v>
      </c>
      <c r="C72" s="612"/>
      <c r="D72" s="252" t="s">
        <v>2884</v>
      </c>
      <c r="E72" s="621">
        <v>41145</v>
      </c>
      <c r="F72" s="621" t="s">
        <v>4973</v>
      </c>
      <c r="G72" s="404" t="s">
        <v>5733</v>
      </c>
      <c r="H72" s="251"/>
      <c r="I72" s="722"/>
      <c r="J72" s="1214"/>
      <c r="L72" s="253">
        <v>500</v>
      </c>
      <c r="M72" s="611"/>
      <c r="N72" s="611">
        <f t="shared" si="20"/>
        <v>500</v>
      </c>
      <c r="O72" s="715"/>
      <c r="P72" s="647" t="s">
        <v>2820</v>
      </c>
      <c r="Q72" s="1136" t="s">
        <v>105</v>
      </c>
      <c r="V72" s="12" t="s">
        <v>192</v>
      </c>
    </row>
    <row r="73" spans="2:22" ht="30">
      <c r="B73" s="612" t="s">
        <v>2683</v>
      </c>
      <c r="C73" s="612"/>
      <c r="D73" s="252" t="s">
        <v>2885</v>
      </c>
      <c r="E73" s="621">
        <v>41180</v>
      </c>
      <c r="F73" s="621" t="s">
        <v>4973</v>
      </c>
      <c r="G73" s="404" t="s">
        <v>5733</v>
      </c>
      <c r="H73" s="251"/>
      <c r="I73" s="722"/>
      <c r="J73" s="1214"/>
      <c r="L73" s="253">
        <v>1000</v>
      </c>
      <c r="M73" s="611"/>
      <c r="N73" s="611">
        <f t="shared" si="20"/>
        <v>1000</v>
      </c>
      <c r="O73" s="715"/>
      <c r="P73" s="647" t="s">
        <v>2820</v>
      </c>
      <c r="Q73" s="1136" t="s">
        <v>105</v>
      </c>
      <c r="V73" s="12" t="s">
        <v>192</v>
      </c>
    </row>
    <row r="74" spans="2:22" ht="30">
      <c r="B74" s="612" t="s">
        <v>2683</v>
      </c>
      <c r="C74" s="612"/>
      <c r="D74" s="252" t="s">
        <v>2886</v>
      </c>
      <c r="E74" s="621">
        <v>41193</v>
      </c>
      <c r="F74" s="621" t="s">
        <v>4973</v>
      </c>
      <c r="G74" s="404" t="s">
        <v>5733</v>
      </c>
      <c r="H74" s="251"/>
      <c r="I74" s="722"/>
      <c r="J74" s="1214"/>
      <c r="L74" s="253">
        <v>1000</v>
      </c>
      <c r="M74" s="611"/>
      <c r="N74" s="611">
        <f t="shared" si="20"/>
        <v>1000</v>
      </c>
      <c r="O74" s="715"/>
      <c r="P74" s="647" t="s">
        <v>2820</v>
      </c>
      <c r="Q74" s="1136" t="s">
        <v>105</v>
      </c>
      <c r="V74" s="12" t="s">
        <v>192</v>
      </c>
    </row>
    <row r="75" spans="2:22" ht="30">
      <c r="B75" s="612" t="s">
        <v>2683</v>
      </c>
      <c r="C75" s="612"/>
      <c r="D75" s="252" t="s">
        <v>2887</v>
      </c>
      <c r="E75" s="621">
        <v>41204</v>
      </c>
      <c r="F75" s="621" t="s">
        <v>4973</v>
      </c>
      <c r="G75" s="404" t="s">
        <v>5858</v>
      </c>
      <c r="H75" s="251"/>
      <c r="I75" s="722"/>
      <c r="J75" s="1214"/>
      <c r="L75" s="253">
        <v>100</v>
      </c>
      <c r="M75" s="611"/>
      <c r="N75" s="611">
        <f t="shared" si="20"/>
        <v>100</v>
      </c>
      <c r="O75" s="715"/>
      <c r="P75" s="647" t="s">
        <v>2820</v>
      </c>
      <c r="Q75" s="1136" t="s">
        <v>105</v>
      </c>
      <c r="V75" s="12" t="s">
        <v>192</v>
      </c>
    </row>
    <row r="76" spans="2:22" ht="30">
      <c r="B76" s="612" t="s">
        <v>2683</v>
      </c>
      <c r="C76" s="612"/>
      <c r="D76" s="252" t="s">
        <v>2888</v>
      </c>
      <c r="E76" s="621">
        <v>41204</v>
      </c>
      <c r="F76" s="621" t="s">
        <v>4973</v>
      </c>
      <c r="G76" s="404" t="s">
        <v>5733</v>
      </c>
      <c r="H76" s="251"/>
      <c r="I76" s="722"/>
      <c r="J76" s="1214"/>
      <c r="L76" s="253">
        <v>400</v>
      </c>
      <c r="M76" s="611"/>
      <c r="N76" s="611">
        <f t="shared" si="20"/>
        <v>400</v>
      </c>
      <c r="O76" s="715"/>
      <c r="P76" s="647" t="s">
        <v>2820</v>
      </c>
      <c r="Q76" s="1136" t="s">
        <v>105</v>
      </c>
      <c r="V76" s="12" t="s">
        <v>192</v>
      </c>
    </row>
    <row r="77" spans="2:22" ht="30">
      <c r="B77" s="612" t="s">
        <v>2683</v>
      </c>
      <c r="C77" s="612"/>
      <c r="D77" s="252" t="s">
        <v>2889</v>
      </c>
      <c r="E77" s="621">
        <v>41206</v>
      </c>
      <c r="F77" s="621" t="s">
        <v>4973</v>
      </c>
      <c r="G77" s="404" t="s">
        <v>5733</v>
      </c>
      <c r="H77" s="251"/>
      <c r="I77" s="722"/>
      <c r="J77" s="1214"/>
      <c r="L77" s="253">
        <v>50</v>
      </c>
      <c r="M77" s="611"/>
      <c r="N77" s="611">
        <f t="shared" si="20"/>
        <v>50</v>
      </c>
      <c r="O77" s="715"/>
      <c r="P77" s="647" t="s">
        <v>2820</v>
      </c>
      <c r="Q77" s="1136" t="s">
        <v>105</v>
      </c>
      <c r="V77" s="12" t="s">
        <v>192</v>
      </c>
    </row>
    <row r="78" spans="2:22" ht="30">
      <c r="B78" s="612" t="s">
        <v>2683</v>
      </c>
      <c r="C78" s="612"/>
      <c r="D78" s="252" t="s">
        <v>2890</v>
      </c>
      <c r="E78" s="621">
        <v>41218</v>
      </c>
      <c r="F78" s="621" t="s">
        <v>4973</v>
      </c>
      <c r="G78" s="404" t="s">
        <v>5733</v>
      </c>
      <c r="H78" s="251"/>
      <c r="I78" s="722"/>
      <c r="J78" s="1214"/>
      <c r="L78" s="253">
        <v>1000</v>
      </c>
      <c r="M78" s="611"/>
      <c r="N78" s="611">
        <f t="shared" si="20"/>
        <v>1000</v>
      </c>
      <c r="O78" s="715"/>
      <c r="P78" s="647" t="s">
        <v>2820</v>
      </c>
      <c r="Q78" s="1136" t="s">
        <v>105</v>
      </c>
      <c r="V78" s="12" t="s">
        <v>192</v>
      </c>
    </row>
    <row r="79" spans="2:22" ht="30">
      <c r="B79" s="612" t="s">
        <v>2683</v>
      </c>
      <c r="C79" s="612"/>
      <c r="D79" s="252" t="s">
        <v>2891</v>
      </c>
      <c r="E79" s="621">
        <v>41250</v>
      </c>
      <c r="F79" s="621" t="s">
        <v>4973</v>
      </c>
      <c r="G79" s="404" t="s">
        <v>5733</v>
      </c>
      <c r="H79" s="251"/>
      <c r="I79" s="722"/>
      <c r="J79" s="1214"/>
      <c r="L79" s="253">
        <v>2000</v>
      </c>
      <c r="M79" s="611"/>
      <c r="N79" s="611">
        <f t="shared" si="20"/>
        <v>2000</v>
      </c>
      <c r="O79" s="715"/>
      <c r="P79" s="647" t="s">
        <v>2820</v>
      </c>
      <c r="Q79" s="1136" t="s">
        <v>105</v>
      </c>
      <c r="V79" s="12" t="s">
        <v>192</v>
      </c>
    </row>
    <row r="80" spans="2:22" ht="30">
      <c r="B80" s="612" t="s">
        <v>2683</v>
      </c>
      <c r="C80" s="612"/>
      <c r="D80" s="252" t="s">
        <v>2892</v>
      </c>
      <c r="E80" s="621">
        <v>41250</v>
      </c>
      <c r="F80" s="621" t="s">
        <v>4973</v>
      </c>
      <c r="G80" s="404" t="s">
        <v>5733</v>
      </c>
      <c r="H80" s="251"/>
      <c r="I80" s="722"/>
      <c r="J80" s="1214"/>
      <c r="L80" s="253">
        <v>500</v>
      </c>
      <c r="M80" s="611"/>
      <c r="N80" s="611">
        <f t="shared" si="20"/>
        <v>500</v>
      </c>
      <c r="O80" s="715"/>
      <c r="P80" s="647" t="s">
        <v>2820</v>
      </c>
      <c r="Q80" s="1136" t="s">
        <v>105</v>
      </c>
      <c r="V80" s="12" t="s">
        <v>192</v>
      </c>
    </row>
    <row r="81" spans="2:22" ht="30">
      <c r="B81" s="612" t="s">
        <v>2683</v>
      </c>
      <c r="C81" s="612"/>
      <c r="D81" s="252" t="s">
        <v>2893</v>
      </c>
      <c r="E81" s="621">
        <v>41250</v>
      </c>
      <c r="F81" s="621" t="s">
        <v>4973</v>
      </c>
      <c r="G81" s="404" t="s">
        <v>5733</v>
      </c>
      <c r="H81" s="251"/>
      <c r="I81" s="722"/>
      <c r="J81" s="1214"/>
      <c r="L81" s="253">
        <v>1000</v>
      </c>
      <c r="M81" s="611"/>
      <c r="N81" s="611">
        <f t="shared" si="20"/>
        <v>1000</v>
      </c>
      <c r="O81" s="715"/>
      <c r="P81" s="647" t="s">
        <v>2820</v>
      </c>
      <c r="Q81" s="1136" t="s">
        <v>105</v>
      </c>
      <c r="V81" s="12" t="s">
        <v>192</v>
      </c>
    </row>
    <row r="82" spans="2:22" ht="30">
      <c r="B82" s="612" t="s">
        <v>2683</v>
      </c>
      <c r="C82" s="612"/>
      <c r="D82" s="252" t="s">
        <v>2894</v>
      </c>
      <c r="E82" s="621">
        <v>41250</v>
      </c>
      <c r="F82" s="621" t="s">
        <v>4973</v>
      </c>
      <c r="G82" s="404" t="s">
        <v>5733</v>
      </c>
      <c r="H82" s="251"/>
      <c r="I82" s="722"/>
      <c r="J82" s="1214"/>
      <c r="L82" s="253">
        <v>1500</v>
      </c>
      <c r="M82" s="611"/>
      <c r="N82" s="611">
        <f t="shared" si="20"/>
        <v>1500</v>
      </c>
      <c r="O82" s="715"/>
      <c r="P82" s="647" t="s">
        <v>2820</v>
      </c>
      <c r="Q82" s="1136" t="s">
        <v>105</v>
      </c>
      <c r="V82" s="12" t="s">
        <v>192</v>
      </c>
    </row>
    <row r="83" spans="2:22" ht="30">
      <c r="B83" s="612" t="s">
        <v>2683</v>
      </c>
      <c r="C83" s="612"/>
      <c r="D83" s="252" t="s">
        <v>2895</v>
      </c>
      <c r="E83" s="621">
        <v>41250</v>
      </c>
      <c r="F83" s="621" t="s">
        <v>4973</v>
      </c>
      <c r="G83" s="404" t="s">
        <v>5733</v>
      </c>
      <c r="H83" s="251"/>
      <c r="I83" s="722"/>
      <c r="J83" s="1214"/>
      <c r="L83" s="253">
        <v>1000</v>
      </c>
      <c r="M83" s="611"/>
      <c r="N83" s="611">
        <f t="shared" si="20"/>
        <v>1000</v>
      </c>
      <c r="O83" s="715"/>
      <c r="P83" s="647" t="s">
        <v>2820</v>
      </c>
      <c r="Q83" s="1136" t="s">
        <v>105</v>
      </c>
      <c r="V83" s="12" t="s">
        <v>192</v>
      </c>
    </row>
    <row r="84" spans="2:22" ht="30">
      <c r="B84" s="612" t="s">
        <v>2683</v>
      </c>
      <c r="C84" s="612"/>
      <c r="D84" s="489" t="s">
        <v>2896</v>
      </c>
      <c r="E84" s="490">
        <v>41288</v>
      </c>
      <c r="F84" s="621" t="s">
        <v>4973</v>
      </c>
      <c r="G84" s="404" t="s">
        <v>5733</v>
      </c>
      <c r="H84" s="488"/>
      <c r="I84" s="722"/>
      <c r="J84" s="1214"/>
      <c r="L84" s="624">
        <v>2000</v>
      </c>
      <c r="M84" s="620"/>
      <c r="N84" s="624">
        <f t="shared" si="20"/>
        <v>2000</v>
      </c>
      <c r="O84" s="715"/>
      <c r="P84" s="647" t="s">
        <v>2820</v>
      </c>
      <c r="Q84" s="1136" t="s">
        <v>105</v>
      </c>
      <c r="V84" s="12" t="s">
        <v>192</v>
      </c>
    </row>
    <row r="85" spans="2:22" ht="30">
      <c r="B85" s="612" t="s">
        <v>2683</v>
      </c>
      <c r="C85" s="612"/>
      <c r="D85" s="489" t="s">
        <v>2897</v>
      </c>
      <c r="E85" s="490">
        <v>41289</v>
      </c>
      <c r="F85" s="621" t="s">
        <v>4973</v>
      </c>
      <c r="G85" s="404" t="s">
        <v>5733</v>
      </c>
      <c r="H85" s="488"/>
      <c r="I85" s="722"/>
      <c r="J85" s="1214"/>
      <c r="L85" s="624">
        <v>2000</v>
      </c>
      <c r="M85" s="620"/>
      <c r="N85" s="624">
        <f t="shared" si="20"/>
        <v>2000</v>
      </c>
      <c r="O85" s="715"/>
      <c r="P85" s="647" t="s">
        <v>2820</v>
      </c>
      <c r="Q85" s="1136" t="s">
        <v>105</v>
      </c>
      <c r="V85" s="12" t="s">
        <v>192</v>
      </c>
    </row>
    <row r="86" spans="2:22" ht="30">
      <c r="B86" s="612" t="s">
        <v>2683</v>
      </c>
      <c r="C86" s="612"/>
      <c r="D86" s="489" t="s">
        <v>2898</v>
      </c>
      <c r="E86" s="490">
        <v>41289</v>
      </c>
      <c r="F86" s="621" t="s">
        <v>4973</v>
      </c>
      <c r="G86" s="404" t="s">
        <v>5733</v>
      </c>
      <c r="H86" s="488"/>
      <c r="I86" s="722"/>
      <c r="J86" s="1214"/>
      <c r="L86" s="624">
        <v>500</v>
      </c>
      <c r="M86" s="620"/>
      <c r="N86" s="624">
        <f t="shared" si="20"/>
        <v>500</v>
      </c>
      <c r="O86" s="715"/>
      <c r="P86" s="647" t="s">
        <v>2820</v>
      </c>
      <c r="Q86" s="1136" t="s">
        <v>105</v>
      </c>
      <c r="V86" s="12" t="s">
        <v>192</v>
      </c>
    </row>
    <row r="87" spans="2:22" ht="30">
      <c r="B87" s="612" t="s">
        <v>2683</v>
      </c>
      <c r="C87" s="612"/>
      <c r="D87" s="489" t="s">
        <v>2899</v>
      </c>
      <c r="E87" s="490">
        <v>41289</v>
      </c>
      <c r="F87" s="621" t="s">
        <v>4973</v>
      </c>
      <c r="G87" s="404" t="s">
        <v>5733</v>
      </c>
      <c r="H87" s="488"/>
      <c r="I87" s="722"/>
      <c r="J87" s="1214"/>
      <c r="L87" s="624">
        <v>500</v>
      </c>
      <c r="M87" s="620"/>
      <c r="N87" s="624">
        <f t="shared" si="20"/>
        <v>500</v>
      </c>
      <c r="O87" s="715"/>
      <c r="P87" s="647" t="s">
        <v>2820</v>
      </c>
      <c r="Q87" s="1136" t="s">
        <v>105</v>
      </c>
      <c r="V87" s="12" t="s">
        <v>192</v>
      </c>
    </row>
    <row r="88" spans="2:22" ht="30">
      <c r="B88" s="612" t="s">
        <v>2900</v>
      </c>
      <c r="C88" s="612"/>
      <c r="D88" s="489" t="s">
        <v>2901</v>
      </c>
      <c r="E88" s="490">
        <v>41311</v>
      </c>
      <c r="F88" s="621" t="s">
        <v>4973</v>
      </c>
      <c r="G88" s="404" t="s">
        <v>5733</v>
      </c>
      <c r="H88" s="488"/>
      <c r="I88" s="722"/>
      <c r="J88" s="1214"/>
      <c r="L88" s="624">
        <v>460</v>
      </c>
      <c r="M88" s="620"/>
      <c r="N88" s="624">
        <f t="shared" si="20"/>
        <v>460</v>
      </c>
      <c r="O88" s="715"/>
      <c r="P88" s="647" t="s">
        <v>2820</v>
      </c>
      <c r="Q88" s="1136" t="s">
        <v>105</v>
      </c>
      <c r="V88" s="12" t="s">
        <v>192</v>
      </c>
    </row>
    <row r="89" spans="2:22" ht="30">
      <c r="B89" s="612" t="s">
        <v>2683</v>
      </c>
      <c r="C89" s="612"/>
      <c r="D89" s="489" t="s">
        <v>2902</v>
      </c>
      <c r="E89" s="490">
        <v>41341</v>
      </c>
      <c r="F89" s="621" t="s">
        <v>4973</v>
      </c>
      <c r="G89" s="404" t="s">
        <v>5733</v>
      </c>
      <c r="H89" s="488"/>
      <c r="I89" s="722"/>
      <c r="J89" s="1214"/>
      <c r="L89" s="624">
        <v>300</v>
      </c>
      <c r="M89" s="620"/>
      <c r="N89" s="624">
        <f t="shared" si="20"/>
        <v>300</v>
      </c>
      <c r="O89" s="715"/>
      <c r="P89" s="647" t="s">
        <v>2820</v>
      </c>
      <c r="Q89" s="1136" t="s">
        <v>105</v>
      </c>
      <c r="V89" s="12" t="s">
        <v>192</v>
      </c>
    </row>
    <row r="91" spans="2:22">
      <c r="B91" s="1206" t="s">
        <v>304</v>
      </c>
      <c r="C91" s="1206"/>
      <c r="I91" s="722"/>
      <c r="J91" s="1214"/>
      <c r="K91" s="1199"/>
      <c r="L91" s="479">
        <f>L92</f>
        <v>5000</v>
      </c>
      <c r="M91" s="1199"/>
      <c r="N91" s="479">
        <f>N92</f>
        <v>5000</v>
      </c>
      <c r="R91" s="479">
        <f t="shared" ref="R91:S92" si="21">R92</f>
        <v>3960</v>
      </c>
      <c r="S91" s="479">
        <f t="shared" si="21"/>
        <v>2497</v>
      </c>
    </row>
    <row r="92" spans="2:22">
      <c r="B92" s="1207" t="s">
        <v>2903</v>
      </c>
      <c r="C92" s="1207"/>
      <c r="K92" s="473"/>
      <c r="L92" s="473">
        <f>L93</f>
        <v>5000</v>
      </c>
      <c r="M92" s="473"/>
      <c r="N92" s="473">
        <f t="shared" ref="N92" si="22">N93</f>
        <v>5000</v>
      </c>
      <c r="O92" s="1216"/>
      <c r="Q92" s="1179"/>
      <c r="R92" s="473">
        <f t="shared" si="21"/>
        <v>3960</v>
      </c>
      <c r="S92" s="473">
        <f t="shared" si="21"/>
        <v>2497</v>
      </c>
    </row>
    <row r="93" spans="2:22" ht="30.75">
      <c r="B93" s="612" t="s">
        <v>1513</v>
      </c>
      <c r="C93" s="612"/>
      <c r="D93" s="489" t="s">
        <v>2904</v>
      </c>
      <c r="E93" s="490">
        <v>41347</v>
      </c>
      <c r="F93" s="490" t="s">
        <v>5846</v>
      </c>
      <c r="G93" s="251" t="s">
        <v>5857</v>
      </c>
      <c r="H93" s="251"/>
      <c r="I93" s="1037">
        <v>41006</v>
      </c>
      <c r="J93" s="1210"/>
      <c r="L93" s="624">
        <v>5000</v>
      </c>
      <c r="M93" s="620"/>
      <c r="N93" s="624">
        <f>SUM(K93:M93)</f>
        <v>5000</v>
      </c>
      <c r="O93" s="1216">
        <f>I93+N93</f>
        <v>46006</v>
      </c>
      <c r="P93" s="647" t="s">
        <v>2820</v>
      </c>
      <c r="Q93" s="1136" t="s">
        <v>105</v>
      </c>
      <c r="R93" s="1217">
        <v>3960</v>
      </c>
      <c r="S93" s="1217">
        <v>2497</v>
      </c>
      <c r="T93" s="1142" t="s">
        <v>6227</v>
      </c>
      <c r="V93" s="31" t="s">
        <v>2905</v>
      </c>
    </row>
    <row r="95" spans="2:22">
      <c r="B95" s="1206" t="s">
        <v>2906</v>
      </c>
      <c r="C95" s="1206"/>
      <c r="D95" s="489"/>
      <c r="E95" s="490"/>
      <c r="F95" s="490"/>
      <c r="G95" s="251"/>
      <c r="H95" s="251"/>
      <c r="I95" s="722"/>
      <c r="J95" s="1214"/>
      <c r="K95" s="1204"/>
      <c r="L95" s="479">
        <f>L96+L100+L105+L109</f>
        <v>37000</v>
      </c>
      <c r="M95" s="1204"/>
      <c r="N95" s="479">
        <f>N96+N100+N105+N109</f>
        <v>37000</v>
      </c>
      <c r="R95" s="479">
        <f t="shared" ref="R95:S95" si="23">R96+R100+R105+R109</f>
        <v>36498</v>
      </c>
      <c r="S95" s="479">
        <f t="shared" si="23"/>
        <v>33764</v>
      </c>
    </row>
    <row r="96" spans="2:22">
      <c r="B96" s="1207" t="s">
        <v>2907</v>
      </c>
      <c r="C96" s="1207"/>
      <c r="I96" s="722">
        <v>206636</v>
      </c>
      <c r="J96" s="1214"/>
      <c r="K96" s="473"/>
      <c r="L96" s="473">
        <f>SUM(L97:L98)</f>
        <v>2000</v>
      </c>
      <c r="M96" s="473"/>
      <c r="N96" s="473">
        <f t="shared" ref="N96" si="24">SUM(N97:N98)</f>
        <v>2000</v>
      </c>
      <c r="O96" s="1216"/>
      <c r="Q96" s="1179"/>
      <c r="R96" s="473">
        <f t="shared" ref="R96:S96" si="25">SUM(R97:R98)</f>
        <v>1700</v>
      </c>
      <c r="S96" s="473">
        <f t="shared" si="25"/>
        <v>1700</v>
      </c>
    </row>
    <row r="97" spans="2:22" ht="30">
      <c r="B97" s="610" t="s">
        <v>1513</v>
      </c>
      <c r="C97" s="610"/>
      <c r="D97" s="489" t="s">
        <v>2908</v>
      </c>
      <c r="E97" s="490">
        <v>41250</v>
      </c>
      <c r="F97" s="490" t="s">
        <v>5856</v>
      </c>
      <c r="G97" s="251" t="s">
        <v>5857</v>
      </c>
      <c r="H97" s="251"/>
      <c r="I97" s="1037"/>
      <c r="J97" s="1210"/>
      <c r="K97" s="31"/>
      <c r="L97" s="624">
        <v>500</v>
      </c>
      <c r="M97" s="624"/>
      <c r="N97" s="611">
        <f>SUM(K97:M97)</f>
        <v>500</v>
      </c>
      <c r="P97" s="770" t="s">
        <v>110</v>
      </c>
      <c r="Q97" s="32" t="s">
        <v>2909</v>
      </c>
      <c r="T97" s="1115" t="s">
        <v>2910</v>
      </c>
      <c r="V97" s="118" t="s">
        <v>2911</v>
      </c>
    </row>
    <row r="98" spans="2:22" ht="30">
      <c r="B98" s="610" t="s">
        <v>1513</v>
      </c>
      <c r="C98" s="610"/>
      <c r="D98" s="489" t="s">
        <v>2912</v>
      </c>
      <c r="E98" s="490">
        <v>41354</v>
      </c>
      <c r="F98" s="490" t="s">
        <v>5856</v>
      </c>
      <c r="G98" s="251" t="s">
        <v>5857</v>
      </c>
      <c r="H98" s="251"/>
      <c r="I98" s="1037"/>
      <c r="J98" s="1210"/>
      <c r="K98" s="31"/>
      <c r="L98" s="624">
        <v>1500</v>
      </c>
      <c r="M98" s="620"/>
      <c r="N98" s="624">
        <f>SUM(K98:M98)</f>
        <v>1500</v>
      </c>
      <c r="P98" s="770" t="s">
        <v>110</v>
      </c>
      <c r="Q98" s="32" t="s">
        <v>2909</v>
      </c>
      <c r="R98" s="1003">
        <v>1700</v>
      </c>
      <c r="S98" s="1003">
        <v>1700</v>
      </c>
      <c r="T98" s="1115" t="s">
        <v>2913</v>
      </c>
      <c r="V98" s="118" t="s">
        <v>2911</v>
      </c>
    </row>
    <row r="99" spans="2:22">
      <c r="B99" s="261"/>
      <c r="C99" s="261"/>
      <c r="D99" s="489"/>
      <c r="E99" s="490"/>
      <c r="F99" s="490"/>
      <c r="G99" s="251"/>
      <c r="H99" s="251"/>
      <c r="I99" s="722"/>
      <c r="J99" s="1214"/>
    </row>
    <row r="100" spans="2:22">
      <c r="B100" s="1207" t="s">
        <v>2914</v>
      </c>
      <c r="C100" s="1207"/>
      <c r="I100" s="722">
        <v>62064</v>
      </c>
      <c r="J100" s="1214"/>
      <c r="K100" s="473"/>
      <c r="L100" s="473">
        <f>SUM(L101:L103)</f>
        <v>6500</v>
      </c>
      <c r="M100" s="473"/>
      <c r="N100" s="473">
        <f>SUM(N101:N103)</f>
        <v>6500</v>
      </c>
      <c r="O100" s="1216"/>
      <c r="Q100" s="1179"/>
      <c r="R100" s="473">
        <f t="shared" ref="R100:S100" si="26">SUM(R101:R103)</f>
        <v>6500</v>
      </c>
      <c r="S100" s="473">
        <f t="shared" si="26"/>
        <v>6500</v>
      </c>
    </row>
    <row r="101" spans="2:22" ht="30">
      <c r="B101" s="612" t="s">
        <v>1513</v>
      </c>
      <c r="C101" s="612"/>
      <c r="D101" s="489" t="s">
        <v>2915</v>
      </c>
      <c r="E101" s="490">
        <v>41171</v>
      </c>
      <c r="F101" s="490" t="s">
        <v>5859</v>
      </c>
      <c r="G101" s="251" t="s">
        <v>5857</v>
      </c>
      <c r="H101" s="251"/>
      <c r="I101" s="722"/>
      <c r="J101" s="1214"/>
      <c r="L101" s="624">
        <v>2000</v>
      </c>
      <c r="M101" s="624"/>
      <c r="N101" s="611">
        <f>SUM(K101:M101)</f>
        <v>2000</v>
      </c>
      <c r="P101" s="770" t="s">
        <v>110</v>
      </c>
      <c r="Q101" s="32" t="s">
        <v>2909</v>
      </c>
      <c r="R101" s="1003">
        <v>2000</v>
      </c>
      <c r="S101" s="1003">
        <v>2000</v>
      </c>
      <c r="T101" s="1115" t="s">
        <v>2916</v>
      </c>
      <c r="V101" s="31" t="s">
        <v>2917</v>
      </c>
    </row>
    <row r="102" spans="2:22" ht="30">
      <c r="B102" s="612" t="s">
        <v>1513</v>
      </c>
      <c r="C102" s="612"/>
      <c r="D102" s="489" t="s">
        <v>2918</v>
      </c>
      <c r="E102" s="490">
        <v>41250</v>
      </c>
      <c r="F102" s="490" t="s">
        <v>5859</v>
      </c>
      <c r="G102" s="251" t="s">
        <v>5857</v>
      </c>
      <c r="H102" s="251"/>
      <c r="I102" s="722"/>
      <c r="J102" s="1214"/>
      <c r="L102" s="624">
        <v>3000</v>
      </c>
      <c r="M102" s="624"/>
      <c r="N102" s="611">
        <f>SUM(K102:M102)</f>
        <v>3000</v>
      </c>
      <c r="P102" s="770" t="s">
        <v>110</v>
      </c>
      <c r="Q102" s="32" t="s">
        <v>2909</v>
      </c>
      <c r="R102" s="1003">
        <v>3000</v>
      </c>
      <c r="S102" s="1003">
        <v>3000</v>
      </c>
      <c r="T102" s="1115" t="s">
        <v>2919</v>
      </c>
      <c r="V102" s="31" t="s">
        <v>2917</v>
      </c>
    </row>
    <row r="103" spans="2:22">
      <c r="B103" s="612" t="s">
        <v>1513</v>
      </c>
      <c r="C103" s="612"/>
      <c r="D103" s="489" t="s">
        <v>2920</v>
      </c>
      <c r="E103" s="490">
        <v>41354</v>
      </c>
      <c r="F103" s="490" t="s">
        <v>5859</v>
      </c>
      <c r="G103" s="251" t="s">
        <v>5857</v>
      </c>
      <c r="H103" s="251"/>
      <c r="I103" s="722"/>
      <c r="J103" s="1214"/>
      <c r="L103" s="624">
        <v>1500</v>
      </c>
      <c r="M103" s="620"/>
      <c r="N103" s="624">
        <f>SUM(K103:M103)</f>
        <v>1500</v>
      </c>
      <c r="R103" s="1003">
        <v>1500</v>
      </c>
      <c r="S103" s="1003">
        <v>1500</v>
      </c>
      <c r="T103" s="1115" t="s">
        <v>2921</v>
      </c>
      <c r="V103" s="31" t="s">
        <v>2917</v>
      </c>
    </row>
    <row r="104" spans="2:22">
      <c r="B104" s="1150"/>
      <c r="C104" s="1150"/>
      <c r="D104" s="49"/>
      <c r="E104" s="50"/>
      <c r="F104" s="50"/>
      <c r="G104" s="48"/>
      <c r="H104" s="49"/>
      <c r="I104" s="598"/>
      <c r="J104" s="601"/>
      <c r="K104" s="49"/>
      <c r="L104" s="49"/>
      <c r="M104" s="49"/>
      <c r="N104" s="49"/>
      <c r="O104" s="1130"/>
      <c r="P104" s="1196"/>
      <c r="Q104" s="1136"/>
      <c r="R104" s="1000"/>
      <c r="S104" s="1000"/>
      <c r="T104" s="1110"/>
      <c r="U104" s="1014"/>
      <c r="V104" s="1014"/>
    </row>
    <row r="105" spans="2:22">
      <c r="B105" s="1207" t="s">
        <v>1401</v>
      </c>
      <c r="C105" s="1207"/>
      <c r="D105" s="49"/>
      <c r="E105" s="50"/>
      <c r="F105" s="50"/>
      <c r="G105" s="48"/>
      <c r="H105" s="49"/>
      <c r="I105" s="1037">
        <v>104295</v>
      </c>
      <c r="J105" s="1210"/>
      <c r="K105" s="473"/>
      <c r="L105" s="473">
        <f>SUM(L106:L107)</f>
        <v>25000</v>
      </c>
      <c r="M105" s="473"/>
      <c r="N105" s="473">
        <f>SUM(N106:N107)</f>
        <v>25000</v>
      </c>
      <c r="O105" s="1179">
        <f>I105+N105</f>
        <v>129295</v>
      </c>
      <c r="P105" s="1196"/>
      <c r="Q105" s="1179"/>
      <c r="R105" s="1005">
        <f>SUM(R106:R107)</f>
        <v>24798</v>
      </c>
      <c r="S105" s="1005">
        <f>SUM(S106:S107)</f>
        <v>22064</v>
      </c>
      <c r="T105" s="1110"/>
      <c r="U105" s="1014"/>
      <c r="V105" s="1014"/>
    </row>
    <row r="106" spans="2:22" ht="30">
      <c r="B106" s="610" t="s">
        <v>1513</v>
      </c>
      <c r="C106" s="610"/>
      <c r="D106" s="252" t="s">
        <v>2922</v>
      </c>
      <c r="E106" s="621">
        <v>41250</v>
      </c>
      <c r="F106" s="621" t="s">
        <v>2869</v>
      </c>
      <c r="G106" s="251" t="s">
        <v>5860</v>
      </c>
      <c r="H106" s="251"/>
      <c r="K106" s="253"/>
      <c r="L106" s="253">
        <v>5000</v>
      </c>
      <c r="M106" s="252"/>
      <c r="N106" s="611">
        <f t="shared" ref="N106" si="27">SUM(K106:M106)</f>
        <v>5000</v>
      </c>
      <c r="P106" s="770" t="s">
        <v>110</v>
      </c>
      <c r="Q106" s="32" t="s">
        <v>2909</v>
      </c>
      <c r="R106" s="70">
        <v>5000</v>
      </c>
      <c r="S106" s="70">
        <v>5000</v>
      </c>
      <c r="T106" s="961" t="s">
        <v>2923</v>
      </c>
      <c r="U106" s="1014"/>
      <c r="V106" s="31" t="s">
        <v>2924</v>
      </c>
    </row>
    <row r="107" spans="2:22" ht="30">
      <c r="B107" s="610" t="s">
        <v>1513</v>
      </c>
      <c r="C107" s="610"/>
      <c r="D107" s="489" t="s">
        <v>2925</v>
      </c>
      <c r="E107" s="490">
        <v>41319</v>
      </c>
      <c r="F107" s="490" t="s">
        <v>2878</v>
      </c>
      <c r="G107" s="251" t="s">
        <v>1401</v>
      </c>
      <c r="H107" s="251"/>
      <c r="I107" s="1037"/>
      <c r="J107" s="1210"/>
      <c r="K107" s="253"/>
      <c r="L107" s="624">
        <v>20000</v>
      </c>
      <c r="M107" s="620"/>
      <c r="N107" s="624">
        <f>SUM(K107:M107)</f>
        <v>20000</v>
      </c>
      <c r="O107" s="1216"/>
      <c r="P107" s="1196"/>
      <c r="Q107" s="1179"/>
      <c r="R107" s="1000">
        <v>19798</v>
      </c>
      <c r="S107" s="1000">
        <v>17064</v>
      </c>
      <c r="T107" s="1110" t="s">
        <v>4648</v>
      </c>
      <c r="U107" s="1014"/>
      <c r="V107" s="31"/>
    </row>
    <row r="108" spans="2:22">
      <c r="B108" s="1150"/>
      <c r="C108" s="1150"/>
      <c r="D108" s="49"/>
      <c r="E108" s="50"/>
      <c r="F108" s="50"/>
      <c r="G108" s="48"/>
      <c r="H108" s="49"/>
      <c r="I108" s="598"/>
      <c r="J108" s="601"/>
      <c r="K108" s="49"/>
      <c r="L108" s="49"/>
      <c r="M108" s="49"/>
      <c r="N108" s="49"/>
      <c r="O108" s="1130"/>
      <c r="P108" s="1196"/>
      <c r="Q108" s="1136"/>
      <c r="R108" s="1000"/>
      <c r="S108" s="1000"/>
      <c r="T108" s="1110"/>
      <c r="U108" s="1014"/>
      <c r="V108" s="1014"/>
    </row>
    <row r="109" spans="2:22">
      <c r="B109" s="1207" t="s">
        <v>2926</v>
      </c>
      <c r="C109" s="1207"/>
      <c r="I109" s="722">
        <v>135900</v>
      </c>
      <c r="J109" s="1214"/>
      <c r="K109" s="473"/>
      <c r="L109" s="479">
        <f>L110+L111</f>
        <v>3500</v>
      </c>
      <c r="M109" s="479">
        <f>M110+M111</f>
        <v>0</v>
      </c>
      <c r="N109" s="479">
        <f>N110+N111</f>
        <v>3500</v>
      </c>
      <c r="O109" s="622">
        <f>N109+I109</f>
        <v>139400</v>
      </c>
      <c r="P109" s="1196"/>
      <c r="Q109" s="623"/>
      <c r="R109" s="479">
        <f t="shared" ref="R109:S109" si="28">R110+R111</f>
        <v>3500</v>
      </c>
      <c r="S109" s="479">
        <f t="shared" si="28"/>
        <v>3500</v>
      </c>
      <c r="T109" s="1110"/>
      <c r="U109" s="1014"/>
      <c r="V109" s="1014"/>
    </row>
    <row r="110" spans="2:22" ht="30">
      <c r="B110" s="610" t="s">
        <v>1513</v>
      </c>
      <c r="C110" s="610"/>
      <c r="D110" s="252" t="s">
        <v>2927</v>
      </c>
      <c r="E110" s="621">
        <v>41250</v>
      </c>
      <c r="F110" s="621" t="s">
        <v>5856</v>
      </c>
      <c r="G110" s="251" t="s">
        <v>5649</v>
      </c>
      <c r="H110" s="251"/>
      <c r="I110" s="722"/>
      <c r="J110" s="1214"/>
      <c r="K110" s="49"/>
      <c r="L110" s="253">
        <v>1500</v>
      </c>
      <c r="M110" s="611"/>
      <c r="N110" s="611">
        <f>SUM(K110:M110)</f>
        <v>1500</v>
      </c>
      <c r="O110" s="715"/>
      <c r="P110" s="770" t="s">
        <v>110</v>
      </c>
      <c r="Q110" s="32" t="s">
        <v>2909</v>
      </c>
      <c r="R110" s="1003">
        <v>1500</v>
      </c>
      <c r="S110" s="1003">
        <v>1500</v>
      </c>
      <c r="T110" s="1115" t="s">
        <v>2921</v>
      </c>
      <c r="U110" s="1014"/>
      <c r="V110" s="31" t="s">
        <v>2928</v>
      </c>
    </row>
    <row r="111" spans="2:22" ht="30">
      <c r="B111" s="610" t="s">
        <v>1513</v>
      </c>
      <c r="C111" s="610"/>
      <c r="D111" s="489" t="s">
        <v>2929</v>
      </c>
      <c r="E111" s="490">
        <v>41354</v>
      </c>
      <c r="F111" s="621" t="s">
        <v>5856</v>
      </c>
      <c r="G111" s="251" t="s">
        <v>5649</v>
      </c>
      <c r="H111" s="251"/>
      <c r="I111" s="722"/>
      <c r="J111" s="1214"/>
      <c r="K111" s="49"/>
      <c r="L111" s="624">
        <v>2000</v>
      </c>
      <c r="M111" s="620"/>
      <c r="N111" s="624">
        <f>SUM(K111:M111)</f>
        <v>2000</v>
      </c>
      <c r="O111" s="715"/>
      <c r="P111" s="770" t="s">
        <v>110</v>
      </c>
      <c r="Q111" s="32" t="s">
        <v>2909</v>
      </c>
      <c r="R111" s="1003">
        <v>2000</v>
      </c>
      <c r="S111" s="1003">
        <v>2000</v>
      </c>
      <c r="T111" s="1115" t="s">
        <v>2930</v>
      </c>
      <c r="U111" s="1014"/>
      <c r="V111" s="31" t="s">
        <v>2928</v>
      </c>
    </row>
    <row r="112" spans="2:22">
      <c r="B112" s="1150"/>
      <c r="C112" s="1150"/>
      <c r="D112" s="49"/>
      <c r="E112" s="50"/>
      <c r="F112" s="50"/>
      <c r="G112" s="48"/>
      <c r="H112" s="49"/>
      <c r="I112" s="598"/>
      <c r="J112" s="601"/>
      <c r="K112" s="49"/>
      <c r="L112" s="49"/>
      <c r="M112" s="49"/>
      <c r="N112" s="49"/>
      <c r="O112" s="1130"/>
      <c r="P112" s="1196"/>
      <c r="Q112" s="1136"/>
      <c r="R112" s="1000"/>
      <c r="S112" s="1000"/>
      <c r="T112" s="1110"/>
      <c r="U112" s="1014"/>
      <c r="V112" s="1014"/>
    </row>
    <row r="113" spans="2:22">
      <c r="B113" s="1206" t="s">
        <v>2931</v>
      </c>
      <c r="C113" s="1206"/>
      <c r="D113" s="489"/>
      <c r="E113" s="490"/>
      <c r="F113" s="490"/>
      <c r="G113" s="250"/>
      <c r="H113" s="250"/>
      <c r="I113" s="722"/>
      <c r="J113" s="1214"/>
      <c r="K113" s="600"/>
      <c r="L113" s="600">
        <f>L114+L116+L119</f>
        <v>11000</v>
      </c>
      <c r="M113" s="600"/>
      <c r="N113" s="600">
        <f>N114+N116+N119</f>
        <v>11000</v>
      </c>
      <c r="O113" s="1130"/>
      <c r="P113" s="1196"/>
      <c r="Q113" s="1136"/>
      <c r="R113" s="600">
        <f t="shared" ref="R113:S113" si="29">R114+R116+R119</f>
        <v>11000</v>
      </c>
      <c r="S113" s="600">
        <f t="shared" si="29"/>
        <v>9500</v>
      </c>
      <c r="T113" s="1110"/>
      <c r="U113" s="1014"/>
      <c r="V113" s="1014"/>
    </row>
    <row r="114" spans="2:22">
      <c r="B114" s="1207" t="s">
        <v>2932</v>
      </c>
      <c r="C114" s="1207"/>
      <c r="I114" s="722"/>
      <c r="J114" s="1214"/>
      <c r="K114" s="473"/>
      <c r="L114" s="479">
        <f>L115</f>
        <v>1000</v>
      </c>
      <c r="M114" s="479"/>
      <c r="N114" s="479">
        <f t="shared" ref="N114" si="30">N115</f>
        <v>1000</v>
      </c>
      <c r="O114" s="622"/>
      <c r="P114" s="1196"/>
      <c r="Q114" s="623"/>
      <c r="R114" s="479">
        <f t="shared" ref="R114:S114" si="31">R115</f>
        <v>1000</v>
      </c>
      <c r="S114" s="479">
        <f t="shared" si="31"/>
        <v>1000</v>
      </c>
      <c r="T114" s="1110"/>
      <c r="U114" s="1014"/>
      <c r="V114" s="1014"/>
    </row>
    <row r="115" spans="2:22" ht="45">
      <c r="B115" s="610" t="s">
        <v>1513</v>
      </c>
      <c r="C115" s="610"/>
      <c r="D115" s="489" t="s">
        <v>2933</v>
      </c>
      <c r="E115" s="490">
        <v>41264</v>
      </c>
      <c r="F115" s="490" t="s">
        <v>4960</v>
      </c>
      <c r="G115" s="251" t="s">
        <v>5861</v>
      </c>
      <c r="H115" s="251"/>
      <c r="I115" s="1037">
        <v>16830</v>
      </c>
      <c r="J115" s="1210"/>
      <c r="K115" s="49"/>
      <c r="L115" s="624">
        <v>1000</v>
      </c>
      <c r="M115" s="624"/>
      <c r="N115" s="611">
        <f>SUM(K115:M115)</f>
        <v>1000</v>
      </c>
      <c r="O115" s="623">
        <f>N115+I115</f>
        <v>17830</v>
      </c>
      <c r="P115" s="647" t="s">
        <v>110</v>
      </c>
      <c r="Q115" s="1218" t="s">
        <v>105</v>
      </c>
      <c r="R115" s="1003">
        <v>1000</v>
      </c>
      <c r="S115" s="1003">
        <v>1000</v>
      </c>
      <c r="T115" s="1115" t="s">
        <v>6041</v>
      </c>
      <c r="U115" s="1014"/>
      <c r="V115" s="31" t="s">
        <v>2934</v>
      </c>
    </row>
    <row r="116" spans="2:22">
      <c r="B116" s="1207" t="s">
        <v>2935</v>
      </c>
      <c r="C116" s="1207"/>
      <c r="I116" s="722"/>
      <c r="J116" s="1214"/>
      <c r="K116" s="473"/>
      <c r="L116" s="479">
        <f>L117</f>
        <v>5000</v>
      </c>
      <c r="M116" s="479"/>
      <c r="N116" s="479">
        <f t="shared" ref="N116" si="32">N117</f>
        <v>5000</v>
      </c>
      <c r="O116" s="622"/>
      <c r="P116" s="1196"/>
      <c r="Q116" s="623"/>
      <c r="R116" s="479">
        <f t="shared" ref="R116:S116" si="33">R117</f>
        <v>5000</v>
      </c>
      <c r="S116" s="479">
        <f t="shared" si="33"/>
        <v>5000</v>
      </c>
      <c r="T116" s="1110"/>
      <c r="U116" s="1014"/>
      <c r="V116" s="31"/>
    </row>
    <row r="117" spans="2:22" ht="30">
      <c r="B117" s="610" t="s">
        <v>1513</v>
      </c>
      <c r="C117" s="610"/>
      <c r="D117" s="489" t="s">
        <v>2936</v>
      </c>
      <c r="E117" s="490">
        <v>41348</v>
      </c>
      <c r="F117" s="489" t="s">
        <v>4973</v>
      </c>
      <c r="G117" s="625" t="s">
        <v>2935</v>
      </c>
      <c r="H117" s="251"/>
      <c r="I117" s="722">
        <v>193212</v>
      </c>
      <c r="J117" s="1214"/>
      <c r="K117" s="49"/>
      <c r="L117" s="624">
        <v>5000</v>
      </c>
      <c r="M117" s="620"/>
      <c r="N117" s="624">
        <f>SUM(K117:M117)</f>
        <v>5000</v>
      </c>
      <c r="O117" s="622">
        <f>N117+I117</f>
        <v>198212</v>
      </c>
      <c r="P117" s="647" t="s">
        <v>110</v>
      </c>
      <c r="Q117" s="1218" t="s">
        <v>105</v>
      </c>
      <c r="R117" s="1003">
        <v>5000</v>
      </c>
      <c r="S117" s="1003">
        <v>5000</v>
      </c>
      <c r="T117" s="1006">
        <v>1000</v>
      </c>
      <c r="U117" s="1014"/>
      <c r="V117" s="31" t="s">
        <v>2937</v>
      </c>
    </row>
    <row r="118" spans="2:22">
      <c r="I118" s="722"/>
      <c r="J118" s="1214"/>
      <c r="K118" s="49"/>
      <c r="L118" s="624"/>
      <c r="M118" s="620"/>
      <c r="N118" s="624"/>
      <c r="O118" s="715"/>
      <c r="P118" s="1196"/>
      <c r="Q118" s="328"/>
      <c r="R118" s="1000"/>
      <c r="S118" s="1000"/>
      <c r="T118" s="1110"/>
      <c r="U118" s="1014"/>
      <c r="V118" s="31"/>
    </row>
    <row r="119" spans="2:22">
      <c r="B119" s="1207" t="s">
        <v>2938</v>
      </c>
      <c r="C119" s="1207"/>
      <c r="I119" s="722"/>
      <c r="J119" s="1214"/>
      <c r="K119" s="473"/>
      <c r="L119" s="479">
        <f>L120</f>
        <v>5000</v>
      </c>
      <c r="M119" s="479"/>
      <c r="N119" s="479">
        <f t="shared" ref="N119" si="34">N120</f>
        <v>5000</v>
      </c>
      <c r="O119" s="622"/>
      <c r="P119" s="1196"/>
      <c r="Q119" s="623"/>
      <c r="R119" s="479">
        <f t="shared" ref="R119:S119" si="35">R120</f>
        <v>5000</v>
      </c>
      <c r="S119" s="479">
        <f t="shared" si="35"/>
        <v>3500</v>
      </c>
      <c r="T119" s="1110"/>
      <c r="U119" s="1014"/>
      <c r="V119" s="31"/>
    </row>
    <row r="120" spans="2:22" ht="30">
      <c r="B120" s="610" t="s">
        <v>1513</v>
      </c>
      <c r="C120" s="610"/>
      <c r="D120" s="489" t="s">
        <v>2939</v>
      </c>
      <c r="E120" s="490">
        <v>41347</v>
      </c>
      <c r="F120" s="490" t="s">
        <v>2878</v>
      </c>
      <c r="G120" s="250" t="s">
        <v>5862</v>
      </c>
      <c r="H120" s="251"/>
      <c r="I120" s="1037">
        <v>72745</v>
      </c>
      <c r="J120" s="1210"/>
      <c r="K120" s="49"/>
      <c r="L120" s="624">
        <v>5000</v>
      </c>
      <c r="M120" s="620"/>
      <c r="N120" s="624">
        <f>SUM(K120:M120)</f>
        <v>5000</v>
      </c>
      <c r="O120" s="623">
        <f>N120+I120</f>
        <v>77745</v>
      </c>
      <c r="P120" s="647" t="s">
        <v>110</v>
      </c>
      <c r="Q120" s="1218" t="s">
        <v>105</v>
      </c>
      <c r="R120" s="1107">
        <v>5000</v>
      </c>
      <c r="S120" s="1107">
        <v>3500</v>
      </c>
      <c r="T120" s="961" t="s">
        <v>6042</v>
      </c>
      <c r="U120" s="1014"/>
      <c r="V120" s="31" t="s">
        <v>2940</v>
      </c>
    </row>
    <row r="121" spans="2:22">
      <c r="B121" s="1150"/>
      <c r="C121" s="1150"/>
      <c r="D121" s="49"/>
      <c r="E121" s="50"/>
      <c r="F121" s="50"/>
      <c r="G121" s="48"/>
      <c r="H121" s="49"/>
      <c r="I121" s="598"/>
      <c r="J121" s="601"/>
      <c r="K121" s="49"/>
      <c r="L121" s="49"/>
      <c r="M121" s="49"/>
      <c r="N121" s="49"/>
      <c r="O121" s="1130"/>
      <c r="P121" s="1196"/>
      <c r="Q121" s="1136"/>
      <c r="R121" s="1000"/>
      <c r="S121" s="1000"/>
      <c r="T121" s="1110"/>
      <c r="U121" s="1014"/>
      <c r="V121" s="1014"/>
    </row>
    <row r="122" spans="2:22">
      <c r="B122" s="1206" t="s">
        <v>2941</v>
      </c>
      <c r="C122" s="1206"/>
      <c r="D122" s="49"/>
      <c r="E122" s="50"/>
      <c r="F122" s="50"/>
      <c r="G122" s="48"/>
      <c r="H122" s="49"/>
      <c r="I122" s="598"/>
      <c r="J122" s="601"/>
      <c r="K122" s="600"/>
      <c r="L122" s="600">
        <f>L123+L129+L134</f>
        <v>22000</v>
      </c>
      <c r="M122" s="600"/>
      <c r="N122" s="600">
        <f>N123+N129+N134</f>
        <v>22000</v>
      </c>
      <c r="O122" s="1130"/>
      <c r="P122" s="1196"/>
      <c r="Q122" s="1136"/>
      <c r="R122" s="600">
        <f t="shared" ref="R122:S122" si="36">R123+R129+R134</f>
        <v>22000</v>
      </c>
      <c r="S122" s="600">
        <f t="shared" si="36"/>
        <v>19108</v>
      </c>
      <c r="T122" s="1110"/>
      <c r="U122" s="1014"/>
      <c r="V122" s="1014"/>
    </row>
    <row r="123" spans="2:22">
      <c r="B123" s="1207" t="s">
        <v>2942</v>
      </c>
      <c r="C123" s="1207"/>
      <c r="I123" s="722">
        <v>67490</v>
      </c>
      <c r="J123" s="1214"/>
      <c r="K123" s="600"/>
      <c r="L123" s="479">
        <f>SUM(L124:L127)</f>
        <v>11000</v>
      </c>
      <c r="M123" s="479"/>
      <c r="N123" s="479">
        <f t="shared" ref="N123" si="37">SUM(N124:N127)</f>
        <v>11000</v>
      </c>
      <c r="O123" s="623">
        <f>N123+I123</f>
        <v>78490</v>
      </c>
      <c r="P123" s="1196"/>
      <c r="Q123" s="623"/>
      <c r="R123" s="479">
        <f t="shared" ref="R123:S123" si="38">SUM(R124:R127)</f>
        <v>11000</v>
      </c>
      <c r="S123" s="479">
        <f t="shared" si="38"/>
        <v>11000</v>
      </c>
      <c r="T123" s="1110"/>
      <c r="U123" s="1014"/>
      <c r="V123" s="1014"/>
    </row>
    <row r="124" spans="2:22" ht="30">
      <c r="B124" s="610" t="s">
        <v>1513</v>
      </c>
      <c r="C124" s="610"/>
      <c r="D124" s="489" t="s">
        <v>2943</v>
      </c>
      <c r="E124" s="490">
        <v>41260</v>
      </c>
      <c r="F124" s="490" t="s">
        <v>5846</v>
      </c>
      <c r="G124" s="251" t="s">
        <v>5649</v>
      </c>
      <c r="H124" s="251"/>
      <c r="I124" s="722"/>
      <c r="J124" s="1214"/>
      <c r="K124" s="49"/>
      <c r="L124" s="624">
        <v>2500</v>
      </c>
      <c r="M124" s="624"/>
      <c r="N124" s="611">
        <f>SUM(K124:M124)</f>
        <v>2500</v>
      </c>
      <c r="O124" s="715"/>
      <c r="P124" s="647" t="s">
        <v>110</v>
      </c>
      <c r="Q124" s="1218" t="s">
        <v>105</v>
      </c>
      <c r="R124" s="1107">
        <v>2500</v>
      </c>
      <c r="S124" s="1107">
        <v>2500</v>
      </c>
      <c r="T124" s="961">
        <v>500</v>
      </c>
      <c r="U124" s="1014"/>
      <c r="V124" s="31" t="s">
        <v>2944</v>
      </c>
    </row>
    <row r="125" spans="2:22" ht="30">
      <c r="B125" s="610" t="s">
        <v>1513</v>
      </c>
      <c r="C125" s="610"/>
      <c r="D125" s="489" t="s">
        <v>2945</v>
      </c>
      <c r="E125" s="490">
        <v>41288</v>
      </c>
      <c r="F125" s="490" t="s">
        <v>5846</v>
      </c>
      <c r="G125" s="251" t="s">
        <v>5649</v>
      </c>
      <c r="H125" s="251"/>
      <c r="I125" s="722"/>
      <c r="J125" s="1214"/>
      <c r="K125" s="49"/>
      <c r="L125" s="624">
        <v>5000</v>
      </c>
      <c r="M125" s="620"/>
      <c r="N125" s="624">
        <f>SUM(K125:M125)</f>
        <v>5000</v>
      </c>
      <c r="O125" s="715"/>
      <c r="P125" s="647" t="s">
        <v>110</v>
      </c>
      <c r="Q125" s="1218" t="s">
        <v>105</v>
      </c>
      <c r="R125" s="1107">
        <v>5000</v>
      </c>
      <c r="S125" s="1107">
        <v>5000</v>
      </c>
      <c r="T125" s="1007">
        <v>1000</v>
      </c>
      <c r="U125" s="1014"/>
      <c r="V125" s="31" t="s">
        <v>2944</v>
      </c>
    </row>
    <row r="126" spans="2:22" ht="30">
      <c r="B126" s="610" t="s">
        <v>1513</v>
      </c>
      <c r="C126" s="610"/>
      <c r="D126" s="489" t="s">
        <v>2946</v>
      </c>
      <c r="E126" s="490">
        <v>41302</v>
      </c>
      <c r="F126" s="490" t="s">
        <v>5846</v>
      </c>
      <c r="G126" s="251" t="s">
        <v>5649</v>
      </c>
      <c r="H126" s="251"/>
      <c r="I126" s="722"/>
      <c r="J126" s="1214"/>
      <c r="K126" s="49"/>
      <c r="L126" s="624">
        <v>1000</v>
      </c>
      <c r="M126" s="620"/>
      <c r="N126" s="624">
        <f>SUM(K126:M126)</f>
        <v>1000</v>
      </c>
      <c r="O126" s="715"/>
      <c r="P126" s="647" t="s">
        <v>110</v>
      </c>
      <c r="Q126" s="1218" t="s">
        <v>105</v>
      </c>
      <c r="R126" s="1107">
        <v>1000</v>
      </c>
      <c r="S126" s="1107">
        <v>1000</v>
      </c>
      <c r="T126" s="961">
        <v>200</v>
      </c>
      <c r="U126" s="1014"/>
      <c r="V126" s="31" t="s">
        <v>2944</v>
      </c>
    </row>
    <row r="127" spans="2:22" ht="30">
      <c r="B127" s="610" t="s">
        <v>1513</v>
      </c>
      <c r="C127" s="610"/>
      <c r="D127" s="489" t="s">
        <v>2947</v>
      </c>
      <c r="E127" s="490">
        <v>41348</v>
      </c>
      <c r="F127" s="490" t="s">
        <v>5846</v>
      </c>
      <c r="G127" s="251" t="s">
        <v>5649</v>
      </c>
      <c r="H127" s="251"/>
      <c r="I127" s="722"/>
      <c r="J127" s="1214"/>
      <c r="K127" s="49"/>
      <c r="L127" s="624">
        <v>2500</v>
      </c>
      <c r="M127" s="620"/>
      <c r="N127" s="624">
        <f>SUM(K127:M127)</f>
        <v>2500</v>
      </c>
      <c r="O127" s="715"/>
      <c r="P127" s="647" t="s">
        <v>110</v>
      </c>
      <c r="Q127" s="1218" t="s">
        <v>105</v>
      </c>
      <c r="R127" s="1107">
        <v>2500</v>
      </c>
      <c r="S127" s="1107">
        <v>2500</v>
      </c>
      <c r="T127" s="961">
        <v>500</v>
      </c>
      <c r="U127" s="1014"/>
      <c r="V127" s="31" t="s">
        <v>2944</v>
      </c>
    </row>
    <row r="128" spans="2:22">
      <c r="B128" s="1150"/>
      <c r="C128" s="1150"/>
      <c r="D128" s="49"/>
      <c r="E128" s="50"/>
      <c r="F128" s="50"/>
      <c r="G128" s="48"/>
      <c r="H128" s="49"/>
      <c r="I128" s="598"/>
      <c r="J128" s="601"/>
      <c r="K128" s="49"/>
      <c r="L128" s="49"/>
      <c r="M128" s="49"/>
      <c r="N128" s="49"/>
      <c r="O128" s="1130"/>
      <c r="P128" s="1196"/>
      <c r="Q128" s="1136"/>
      <c r="R128" s="1107"/>
      <c r="S128" s="1107"/>
      <c r="T128" s="961"/>
      <c r="U128" s="1014"/>
      <c r="V128" s="1014"/>
    </row>
    <row r="129" spans="2:22">
      <c r="B129" s="1207" t="s">
        <v>1423</v>
      </c>
      <c r="C129" s="1207"/>
      <c r="D129" s="49"/>
      <c r="E129" s="50"/>
      <c r="F129" s="50"/>
      <c r="G129" s="48"/>
      <c r="H129" s="49"/>
      <c r="I129" s="722">
        <v>37645</v>
      </c>
      <c r="J129" s="1214"/>
      <c r="K129" s="600"/>
      <c r="L129" s="500">
        <f>SUM(L130:L132)</f>
        <v>10000</v>
      </c>
      <c r="M129" s="500"/>
      <c r="N129" s="500">
        <f t="shared" ref="N129" si="39">SUM(N130:N132)</f>
        <v>10000</v>
      </c>
      <c r="O129" s="622">
        <f>N129+I129</f>
        <v>47645</v>
      </c>
      <c r="P129" s="1196"/>
      <c r="Q129" s="623"/>
      <c r="R129" s="500">
        <f t="shared" ref="R129:S129" si="40">SUM(R130:R132)</f>
        <v>10000</v>
      </c>
      <c r="S129" s="500">
        <f t="shared" si="40"/>
        <v>7108</v>
      </c>
      <c r="T129" s="961"/>
      <c r="U129" s="1014"/>
      <c r="V129" s="1014"/>
    </row>
    <row r="130" spans="2:22" ht="30">
      <c r="B130" s="610" t="s">
        <v>1513</v>
      </c>
      <c r="C130" s="610"/>
      <c r="D130" s="252" t="s">
        <v>2948</v>
      </c>
      <c r="E130" s="483">
        <v>41260</v>
      </c>
      <c r="F130" s="483" t="s">
        <v>5856</v>
      </c>
      <c r="G130" s="251" t="s">
        <v>5649</v>
      </c>
      <c r="H130" s="251"/>
      <c r="I130" s="486"/>
      <c r="J130" s="1211"/>
      <c r="K130" s="49"/>
      <c r="L130" s="253">
        <v>2500</v>
      </c>
      <c r="M130" s="611"/>
      <c r="N130" s="611">
        <f>SUM(K130:M130)</f>
        <v>2500</v>
      </c>
      <c r="O130" s="715"/>
      <c r="P130" s="647" t="s">
        <v>110</v>
      </c>
      <c r="Q130" s="1218" t="s">
        <v>105</v>
      </c>
      <c r="R130" s="1107">
        <v>2500</v>
      </c>
      <c r="S130" s="1107">
        <v>2500</v>
      </c>
      <c r="T130" s="961">
        <v>500</v>
      </c>
      <c r="U130" s="1014"/>
      <c r="V130" s="31" t="s">
        <v>2949</v>
      </c>
    </row>
    <row r="131" spans="2:22" ht="30">
      <c r="B131" s="610" t="s">
        <v>1513</v>
      </c>
      <c r="C131" s="610"/>
      <c r="D131" s="489" t="s">
        <v>2950</v>
      </c>
      <c r="E131" s="483">
        <v>41348</v>
      </c>
      <c r="F131" s="483" t="s">
        <v>5856</v>
      </c>
      <c r="G131" s="251" t="s">
        <v>5649</v>
      </c>
      <c r="H131" s="251"/>
      <c r="I131" s="486"/>
      <c r="J131" s="1211"/>
      <c r="K131" s="49"/>
      <c r="L131" s="624">
        <v>2500</v>
      </c>
      <c r="M131" s="620"/>
      <c r="N131" s="624">
        <f>SUM(K131:M131)</f>
        <v>2500</v>
      </c>
      <c r="O131" s="715"/>
      <c r="P131" s="647" t="s">
        <v>110</v>
      </c>
      <c r="Q131" s="1218" t="s">
        <v>105</v>
      </c>
      <c r="R131" s="1107">
        <v>2500</v>
      </c>
      <c r="S131" s="1107">
        <v>2500</v>
      </c>
      <c r="T131" s="961">
        <v>500</v>
      </c>
      <c r="U131" s="1014"/>
      <c r="V131" s="31" t="s">
        <v>2949</v>
      </c>
    </row>
    <row r="132" spans="2:22" ht="30">
      <c r="B132" s="610" t="s">
        <v>1513</v>
      </c>
      <c r="C132" s="610"/>
      <c r="D132" s="489" t="s">
        <v>2951</v>
      </c>
      <c r="E132" s="483">
        <v>41348</v>
      </c>
      <c r="F132" s="483" t="s">
        <v>5856</v>
      </c>
      <c r="G132" s="251" t="s">
        <v>5649</v>
      </c>
      <c r="H132" s="251"/>
      <c r="I132" s="486"/>
      <c r="J132" s="1211"/>
      <c r="K132" s="49"/>
      <c r="L132" s="624">
        <v>5000</v>
      </c>
      <c r="M132" s="620"/>
      <c r="N132" s="624">
        <f>SUM(K132:M132)</f>
        <v>5000</v>
      </c>
      <c r="O132" s="715"/>
      <c r="P132" s="647" t="s">
        <v>110</v>
      </c>
      <c r="Q132" s="1218" t="s">
        <v>105</v>
      </c>
      <c r="R132" s="1107">
        <v>5000</v>
      </c>
      <c r="S132" s="1107">
        <v>2108</v>
      </c>
      <c r="T132" s="961">
        <v>426</v>
      </c>
      <c r="U132" s="1014"/>
      <c r="V132" s="31" t="s">
        <v>2949</v>
      </c>
    </row>
    <row r="133" spans="2:22">
      <c r="B133" s="1150"/>
      <c r="C133" s="1150"/>
      <c r="D133" s="49"/>
      <c r="E133" s="50"/>
      <c r="F133" s="50"/>
      <c r="G133" s="48"/>
      <c r="H133" s="49"/>
      <c r="I133" s="598"/>
      <c r="J133" s="601"/>
      <c r="K133" s="49"/>
      <c r="L133" s="49"/>
      <c r="M133" s="49"/>
      <c r="N133" s="49"/>
      <c r="O133" s="1130"/>
      <c r="P133" s="1196"/>
      <c r="Q133" s="1136"/>
      <c r="R133" s="1107"/>
      <c r="S133" s="1107"/>
      <c r="T133" s="961"/>
      <c r="U133" s="1014"/>
      <c r="V133" s="1014"/>
    </row>
    <row r="134" spans="2:22">
      <c r="B134" s="1207" t="s">
        <v>2952</v>
      </c>
      <c r="C134" s="1207"/>
      <c r="I134" s="722"/>
      <c r="J134" s="1214"/>
      <c r="K134" s="600"/>
      <c r="L134" s="479">
        <f>L135</f>
        <v>1000</v>
      </c>
      <c r="M134" s="479"/>
      <c r="N134" s="479">
        <f t="shared" ref="N134" si="41">N135</f>
        <v>1000</v>
      </c>
      <c r="O134" s="622"/>
      <c r="P134" s="1196"/>
      <c r="Q134" s="623"/>
      <c r="R134" s="479">
        <f t="shared" ref="R134:S134" si="42">R135</f>
        <v>1000</v>
      </c>
      <c r="S134" s="479">
        <f t="shared" si="42"/>
        <v>1000</v>
      </c>
      <c r="T134" s="961"/>
      <c r="U134" s="1014"/>
      <c r="V134" s="1014"/>
    </row>
    <row r="135" spans="2:22" ht="30">
      <c r="B135" s="610" t="s">
        <v>1513</v>
      </c>
      <c r="C135" s="610"/>
      <c r="D135" s="489" t="s">
        <v>2953</v>
      </c>
      <c r="E135" s="490">
        <v>41290</v>
      </c>
      <c r="F135" s="490" t="s">
        <v>2869</v>
      </c>
      <c r="G135" s="251" t="s">
        <v>5863</v>
      </c>
      <c r="H135" s="251"/>
      <c r="I135" s="1037">
        <v>54428</v>
      </c>
      <c r="J135" s="1210"/>
      <c r="K135" s="49"/>
      <c r="L135" s="624">
        <v>1000</v>
      </c>
      <c r="M135" s="620"/>
      <c r="N135" s="624">
        <f>SUM(K135:M135)</f>
        <v>1000</v>
      </c>
      <c r="O135" s="1219">
        <f>N135+I135</f>
        <v>55428</v>
      </c>
      <c r="P135" s="647" t="s">
        <v>110</v>
      </c>
      <c r="Q135" s="1218" t="s">
        <v>105</v>
      </c>
      <c r="R135" s="1107">
        <v>1000</v>
      </c>
      <c r="S135" s="1107">
        <v>1000</v>
      </c>
      <c r="T135" s="961">
        <v>200</v>
      </c>
      <c r="U135" s="1014"/>
      <c r="V135" s="31" t="s">
        <v>2954</v>
      </c>
    </row>
    <row r="136" spans="2:22">
      <c r="B136" s="1150"/>
      <c r="C136" s="1150"/>
      <c r="D136" s="49"/>
      <c r="E136" s="50"/>
      <c r="F136" s="50"/>
      <c r="G136" s="48"/>
      <c r="H136" s="49"/>
      <c r="I136" s="598"/>
      <c r="J136" s="601"/>
      <c r="K136" s="49"/>
      <c r="L136" s="49"/>
      <c r="M136" s="49"/>
      <c r="N136" s="49"/>
      <c r="O136" s="1130"/>
      <c r="P136" s="1196"/>
      <c r="Q136" s="1136"/>
      <c r="R136" s="1000"/>
      <c r="S136" s="1000"/>
      <c r="T136" s="1110"/>
      <c r="U136" s="1014"/>
      <c r="V136" s="1014"/>
    </row>
    <row r="137" spans="2:22">
      <c r="B137" s="1206" t="s">
        <v>2955</v>
      </c>
      <c r="C137" s="1206"/>
      <c r="D137" s="49"/>
      <c r="E137" s="50"/>
      <c r="F137" s="50"/>
      <c r="G137" s="48"/>
      <c r="H137" s="49"/>
      <c r="I137" s="598"/>
      <c r="J137" s="601"/>
      <c r="K137" s="600"/>
      <c r="L137" s="600">
        <f>L138+L145</f>
        <v>39526</v>
      </c>
      <c r="M137" s="600">
        <f t="shared" ref="M137:N137" si="43">M138+M145</f>
        <v>1000</v>
      </c>
      <c r="N137" s="600">
        <f t="shared" si="43"/>
        <v>40526</v>
      </c>
      <c r="O137" s="1130"/>
      <c r="P137" s="1196"/>
      <c r="Q137" s="1136"/>
      <c r="R137" s="600">
        <f t="shared" ref="R137:S137" si="44">R138+R145</f>
        <v>40526</v>
      </c>
      <c r="S137" s="600">
        <f t="shared" si="44"/>
        <v>33628</v>
      </c>
      <c r="T137" s="1110"/>
      <c r="U137" s="1014"/>
      <c r="V137" s="1014"/>
    </row>
    <row r="138" spans="2:22">
      <c r="B138" s="1207" t="s">
        <v>1448</v>
      </c>
      <c r="C138" s="1207"/>
      <c r="D138" s="49"/>
      <c r="E138" s="50"/>
      <c r="F138" s="50"/>
      <c r="G138" s="48"/>
      <c r="H138" s="49"/>
      <c r="I138" s="1037">
        <v>102118</v>
      </c>
      <c r="J138" s="1210"/>
      <c r="K138" s="600"/>
      <c r="L138" s="500">
        <f>SUM(L139:L143)</f>
        <v>38826</v>
      </c>
      <c r="M138" s="500">
        <f t="shared" ref="M138:N138" si="45">SUM(M139:M143)</f>
        <v>1000</v>
      </c>
      <c r="N138" s="500">
        <f t="shared" si="45"/>
        <v>39826</v>
      </c>
      <c r="O138" s="623">
        <f>N138+I138</f>
        <v>141944</v>
      </c>
      <c r="P138" s="1196"/>
      <c r="Q138" s="623"/>
      <c r="R138" s="500">
        <f t="shared" ref="R138:S138" si="46">SUM(R139:R143)</f>
        <v>39826</v>
      </c>
      <c r="S138" s="500">
        <f t="shared" si="46"/>
        <v>32928</v>
      </c>
      <c r="T138" s="1110"/>
      <c r="U138" s="1014"/>
      <c r="V138" s="1014"/>
    </row>
    <row r="139" spans="2:22" ht="30">
      <c r="B139" s="610" t="s">
        <v>1513</v>
      </c>
      <c r="C139" s="610"/>
      <c r="D139" s="252" t="s">
        <v>2956</v>
      </c>
      <c r="E139" s="621">
        <v>41127</v>
      </c>
      <c r="F139" s="621" t="s">
        <v>5143</v>
      </c>
      <c r="G139" s="251" t="s">
        <v>5864</v>
      </c>
      <c r="H139" s="251"/>
      <c r="I139" s="598"/>
      <c r="J139" s="601"/>
      <c r="K139" s="49"/>
      <c r="L139" s="253">
        <v>22701</v>
      </c>
      <c r="M139" s="611"/>
      <c r="N139" s="611">
        <f t="shared" ref="N139:N143" si="47">SUM(K139:M139)</f>
        <v>22701</v>
      </c>
      <c r="O139" s="715"/>
      <c r="P139" s="647" t="s">
        <v>110</v>
      </c>
      <c r="Q139" s="1218" t="s">
        <v>105</v>
      </c>
      <c r="R139" s="1107">
        <v>22701</v>
      </c>
      <c r="S139" s="1107">
        <f>17849+2917</f>
        <v>20766</v>
      </c>
      <c r="T139" s="1007">
        <v>3602</v>
      </c>
      <c r="U139" s="1014"/>
      <c r="V139" s="31" t="s">
        <v>2957</v>
      </c>
    </row>
    <row r="140" spans="2:22" ht="30">
      <c r="B140" s="610" t="s">
        <v>1513</v>
      </c>
      <c r="C140" s="610"/>
      <c r="D140" s="252" t="s">
        <v>2958</v>
      </c>
      <c r="E140" s="621">
        <v>41134</v>
      </c>
      <c r="F140" s="621" t="s">
        <v>5846</v>
      </c>
      <c r="G140" s="251" t="s">
        <v>5864</v>
      </c>
      <c r="H140" s="251"/>
      <c r="I140" s="598"/>
      <c r="J140" s="601"/>
      <c r="K140" s="49"/>
      <c r="L140" s="253"/>
      <c r="M140" s="611">
        <v>1000</v>
      </c>
      <c r="N140" s="611">
        <f t="shared" si="47"/>
        <v>1000</v>
      </c>
      <c r="O140" s="715"/>
      <c r="P140" s="647" t="s">
        <v>110</v>
      </c>
      <c r="Q140" s="1218" t="s">
        <v>105</v>
      </c>
      <c r="R140" s="1107">
        <v>1000</v>
      </c>
      <c r="S140" s="1107">
        <v>1000</v>
      </c>
      <c r="T140" s="1110"/>
      <c r="U140" s="1014"/>
      <c r="V140" s="31" t="s">
        <v>2957</v>
      </c>
    </row>
    <row r="141" spans="2:22" ht="30">
      <c r="B141" s="610" t="s">
        <v>1513</v>
      </c>
      <c r="C141" s="610"/>
      <c r="D141" s="252" t="s">
        <v>2959</v>
      </c>
      <c r="E141" s="621">
        <v>41250</v>
      </c>
      <c r="F141" s="621" t="s">
        <v>5143</v>
      </c>
      <c r="G141" s="251" t="s">
        <v>1448</v>
      </c>
      <c r="H141" s="251"/>
      <c r="I141" s="598"/>
      <c r="J141" s="601"/>
      <c r="K141" s="49"/>
      <c r="L141" s="253">
        <v>5000</v>
      </c>
      <c r="M141" s="611"/>
      <c r="N141" s="611">
        <f t="shared" si="47"/>
        <v>5000</v>
      </c>
      <c r="O141" s="715"/>
      <c r="P141" s="647" t="s">
        <v>110</v>
      </c>
      <c r="Q141" s="1218" t="s">
        <v>105</v>
      </c>
      <c r="R141" s="1107">
        <v>5000</v>
      </c>
      <c r="S141" s="1107">
        <v>4095</v>
      </c>
      <c r="T141" s="1007">
        <v>999</v>
      </c>
      <c r="U141" s="1014"/>
      <c r="V141" s="31" t="s">
        <v>2957</v>
      </c>
    </row>
    <row r="142" spans="2:22" ht="30">
      <c r="B142" s="610" t="s">
        <v>1513</v>
      </c>
      <c r="C142" s="610"/>
      <c r="D142" s="489" t="s">
        <v>2960</v>
      </c>
      <c r="E142" s="490">
        <v>41295</v>
      </c>
      <c r="F142" s="490" t="s">
        <v>2878</v>
      </c>
      <c r="G142" s="251" t="s">
        <v>1448</v>
      </c>
      <c r="H142" s="251"/>
      <c r="I142" s="598"/>
      <c r="J142" s="601"/>
      <c r="K142" s="49"/>
      <c r="L142" s="624">
        <v>6125</v>
      </c>
      <c r="M142" s="620"/>
      <c r="N142" s="624">
        <f t="shared" si="47"/>
        <v>6125</v>
      </c>
      <c r="O142" s="715"/>
      <c r="P142" s="647" t="s">
        <v>110</v>
      </c>
      <c r="Q142" s="1218" t="s">
        <v>105</v>
      </c>
      <c r="R142" s="1107">
        <v>6125</v>
      </c>
      <c r="S142" s="1107">
        <v>2241</v>
      </c>
      <c r="T142" s="1007">
        <v>1012</v>
      </c>
      <c r="U142" s="1014"/>
      <c r="V142" s="31" t="s">
        <v>2957</v>
      </c>
    </row>
    <row r="143" spans="2:22" ht="30">
      <c r="B143" s="610" t="s">
        <v>1513</v>
      </c>
      <c r="C143" s="610"/>
      <c r="D143" s="489" t="s">
        <v>2961</v>
      </c>
      <c r="E143" s="490">
        <v>41351</v>
      </c>
      <c r="F143" s="490" t="s">
        <v>2878</v>
      </c>
      <c r="G143" s="251" t="s">
        <v>1448</v>
      </c>
      <c r="H143" s="251"/>
      <c r="I143" s="598"/>
      <c r="J143" s="601"/>
      <c r="K143" s="49"/>
      <c r="L143" s="624">
        <v>5000</v>
      </c>
      <c r="M143" s="620"/>
      <c r="N143" s="624">
        <f t="shared" si="47"/>
        <v>5000</v>
      </c>
      <c r="O143" s="715"/>
      <c r="P143" s="647" t="s">
        <v>110</v>
      </c>
      <c r="Q143" s="1218" t="s">
        <v>105</v>
      </c>
      <c r="R143" s="1107">
        <v>5000</v>
      </c>
      <c r="S143" s="1107">
        <v>4826</v>
      </c>
      <c r="T143" s="1007">
        <v>1609</v>
      </c>
      <c r="U143" s="1014"/>
      <c r="V143" s="31" t="s">
        <v>2957</v>
      </c>
    </row>
    <row r="144" spans="2:22">
      <c r="B144" s="610"/>
      <c r="C144" s="610"/>
      <c r="D144" s="489"/>
      <c r="E144" s="490"/>
      <c r="F144" s="490"/>
      <c r="G144" s="251"/>
      <c r="H144" s="251"/>
      <c r="I144" s="598"/>
      <c r="J144" s="601"/>
      <c r="K144" s="49"/>
      <c r="L144" s="624"/>
      <c r="M144" s="620"/>
      <c r="N144" s="624"/>
      <c r="O144" s="715"/>
      <c r="P144" s="1196"/>
      <c r="Q144" s="328"/>
      <c r="R144" s="1000"/>
      <c r="S144" s="1000"/>
      <c r="T144" s="1110"/>
      <c r="U144" s="1014"/>
      <c r="V144" s="31"/>
    </row>
    <row r="145" spans="2:22">
      <c r="B145" s="1207" t="s">
        <v>2962</v>
      </c>
      <c r="C145" s="1207"/>
      <c r="D145" s="489"/>
      <c r="E145" s="490"/>
      <c r="F145" s="490"/>
      <c r="G145" s="251"/>
      <c r="H145" s="251"/>
      <c r="I145" s="598"/>
      <c r="J145" s="601"/>
      <c r="K145" s="600"/>
      <c r="L145" s="479">
        <f>L146</f>
        <v>700</v>
      </c>
      <c r="M145" s="479"/>
      <c r="N145" s="479">
        <f t="shared" ref="N145" si="48">N146</f>
        <v>700</v>
      </c>
      <c r="O145" s="715"/>
      <c r="P145" s="1196"/>
      <c r="Q145" s="328"/>
      <c r="R145" s="479">
        <f t="shared" ref="R145:S145" si="49">R146</f>
        <v>700</v>
      </c>
      <c r="S145" s="479">
        <f t="shared" si="49"/>
        <v>700</v>
      </c>
      <c r="T145" s="1110"/>
      <c r="U145" s="1014"/>
      <c r="V145" s="31"/>
    </row>
    <row r="146" spans="2:22" ht="30">
      <c r="B146" s="610" t="s">
        <v>1513</v>
      </c>
      <c r="C146" s="610"/>
      <c r="D146" s="489" t="s">
        <v>2963</v>
      </c>
      <c r="E146" s="490">
        <v>41295</v>
      </c>
      <c r="F146" s="490" t="s">
        <v>4973</v>
      </c>
      <c r="G146" s="625" t="s">
        <v>5865</v>
      </c>
      <c r="H146" s="251"/>
      <c r="I146" s="1037">
        <v>77101</v>
      </c>
      <c r="J146" s="1210"/>
      <c r="K146" s="49"/>
      <c r="L146" s="624">
        <v>700</v>
      </c>
      <c r="M146" s="620"/>
      <c r="N146" s="624">
        <f>SUM(K146:M146)</f>
        <v>700</v>
      </c>
      <c r="O146" s="1219">
        <f>N146+I146</f>
        <v>77801</v>
      </c>
      <c r="P146" s="647" t="s">
        <v>110</v>
      </c>
      <c r="Q146" s="1218" t="s">
        <v>105</v>
      </c>
      <c r="R146" s="1107">
        <v>700</v>
      </c>
      <c r="S146" s="1107">
        <v>700</v>
      </c>
      <c r="T146" s="1007">
        <v>160</v>
      </c>
      <c r="U146" s="1014"/>
      <c r="V146" s="31" t="s">
        <v>2964</v>
      </c>
    </row>
    <row r="147" spans="2:22">
      <c r="B147" s="610"/>
      <c r="C147" s="610"/>
      <c r="D147" s="489"/>
      <c r="E147" s="490"/>
      <c r="F147" s="490"/>
      <c r="G147" s="251"/>
      <c r="H147" s="251"/>
      <c r="I147" s="598"/>
      <c r="J147" s="601"/>
      <c r="K147" s="49"/>
      <c r="L147" s="624"/>
      <c r="M147" s="620"/>
      <c r="N147" s="624"/>
      <c r="O147" s="715"/>
      <c r="P147" s="1196"/>
      <c r="Q147" s="328"/>
      <c r="R147" s="1000"/>
      <c r="S147" s="1000"/>
      <c r="T147" s="1110"/>
      <c r="U147" s="1014"/>
      <c r="V147" s="31"/>
    </row>
    <row r="148" spans="2:22">
      <c r="B148" s="1206" t="s">
        <v>2965</v>
      </c>
      <c r="C148" s="1206"/>
      <c r="D148" s="489"/>
      <c r="E148" s="490"/>
      <c r="F148" s="490"/>
      <c r="G148" s="251"/>
      <c r="H148" s="251"/>
      <c r="I148" s="722"/>
      <c r="J148" s="1214"/>
      <c r="K148" s="600"/>
      <c r="L148" s="600">
        <f>L149+L151+L154</f>
        <v>8500</v>
      </c>
      <c r="M148" s="600"/>
      <c r="N148" s="600">
        <f>N149+N151+N154</f>
        <v>8500</v>
      </c>
      <c r="O148" s="1130"/>
      <c r="P148" s="1196"/>
      <c r="Q148" s="1136"/>
      <c r="R148" s="600">
        <f t="shared" ref="R148:S148" si="50">R149+R151+R154</f>
        <v>8420</v>
      </c>
      <c r="S148" s="600">
        <f t="shared" si="50"/>
        <v>8420</v>
      </c>
      <c r="T148" s="1110"/>
      <c r="U148" s="1014"/>
      <c r="V148" s="1014"/>
    </row>
    <row r="149" spans="2:22">
      <c r="B149" s="1207" t="s">
        <v>2966</v>
      </c>
      <c r="C149" s="1207"/>
      <c r="I149" s="722"/>
      <c r="J149" s="1214"/>
      <c r="K149" s="600"/>
      <c r="L149" s="479">
        <f>L150</f>
        <v>5000</v>
      </c>
      <c r="M149" s="479"/>
      <c r="N149" s="479">
        <f t="shared" ref="N149:N151" si="51">N150</f>
        <v>5000</v>
      </c>
      <c r="O149" s="622"/>
      <c r="P149" s="1196"/>
      <c r="Q149" s="623"/>
      <c r="R149" s="479">
        <f t="shared" ref="R149:S149" si="52">R150</f>
        <v>4920</v>
      </c>
      <c r="S149" s="479">
        <f t="shared" si="52"/>
        <v>4920</v>
      </c>
      <c r="T149" s="1110"/>
      <c r="U149" s="1014"/>
      <c r="V149" s="1014"/>
    </row>
    <row r="150" spans="2:22" ht="30">
      <c r="B150" s="610" t="s">
        <v>1513</v>
      </c>
      <c r="C150" s="610"/>
      <c r="D150" s="489" t="s">
        <v>2967</v>
      </c>
      <c r="E150" s="490">
        <v>41288</v>
      </c>
      <c r="F150" s="490" t="s">
        <v>5732</v>
      </c>
      <c r="G150" s="251" t="s">
        <v>5866</v>
      </c>
      <c r="H150" s="251"/>
      <c r="I150" s="1037">
        <v>52736</v>
      </c>
      <c r="J150" s="1210"/>
      <c r="K150" s="49"/>
      <c r="L150" s="624">
        <v>5000</v>
      </c>
      <c r="M150" s="620"/>
      <c r="N150" s="624">
        <f>SUM(K150:M150)</f>
        <v>5000</v>
      </c>
      <c r="O150" s="1219">
        <f>N150+I150</f>
        <v>57736</v>
      </c>
      <c r="P150" s="647" t="s">
        <v>110</v>
      </c>
      <c r="Q150" s="1218" t="s">
        <v>105</v>
      </c>
      <c r="R150" s="1107">
        <v>4920</v>
      </c>
      <c r="S150" s="1107">
        <v>4920</v>
      </c>
      <c r="T150" s="961" t="s">
        <v>2968</v>
      </c>
      <c r="U150" s="1014"/>
      <c r="V150" s="31" t="s">
        <v>2969</v>
      </c>
    </row>
    <row r="151" spans="2:22">
      <c r="B151" s="1207" t="s">
        <v>1456</v>
      </c>
      <c r="C151" s="1207"/>
      <c r="D151" s="49"/>
      <c r="E151" s="50"/>
      <c r="F151" s="50"/>
      <c r="G151" s="48"/>
      <c r="H151" s="49"/>
      <c r="I151" s="598"/>
      <c r="J151" s="601"/>
      <c r="K151" s="600"/>
      <c r="L151" s="479">
        <f>L152</f>
        <v>1000</v>
      </c>
      <c r="M151" s="479"/>
      <c r="N151" s="479">
        <f t="shared" si="51"/>
        <v>1000</v>
      </c>
      <c r="O151" s="1130"/>
      <c r="P151" s="1196"/>
      <c r="Q151" s="1136"/>
      <c r="R151" s="479">
        <f t="shared" ref="R151:S151" si="53">R152</f>
        <v>1000</v>
      </c>
      <c r="S151" s="479">
        <f t="shared" si="53"/>
        <v>1000</v>
      </c>
      <c r="T151" s="1110"/>
      <c r="U151" s="1014"/>
      <c r="V151" s="1014"/>
    </row>
    <row r="152" spans="2:22" ht="30">
      <c r="B152" s="610" t="s">
        <v>1513</v>
      </c>
      <c r="C152" s="610"/>
      <c r="D152" s="489" t="s">
        <v>2970</v>
      </c>
      <c r="E152" s="490">
        <v>41289</v>
      </c>
      <c r="F152" s="490" t="s">
        <v>2878</v>
      </c>
      <c r="G152" s="251" t="s">
        <v>1456</v>
      </c>
      <c r="H152" s="251"/>
      <c r="I152" s="598"/>
      <c r="J152" s="601"/>
      <c r="K152" s="49"/>
      <c r="L152" s="624">
        <v>1000</v>
      </c>
      <c r="M152" s="620"/>
      <c r="N152" s="624">
        <f>SUM(K152:M152)</f>
        <v>1000</v>
      </c>
      <c r="O152" s="1130"/>
      <c r="P152" s="647" t="s">
        <v>110</v>
      </c>
      <c r="Q152" s="1218" t="s">
        <v>105</v>
      </c>
      <c r="R152" s="1000">
        <v>1000</v>
      </c>
      <c r="S152" s="1000">
        <v>1000</v>
      </c>
      <c r="T152" s="1110" t="s">
        <v>2971</v>
      </c>
      <c r="U152" s="1014"/>
      <c r="V152" s="31" t="s">
        <v>2972</v>
      </c>
    </row>
    <row r="153" spans="2:22">
      <c r="B153" s="1150"/>
      <c r="C153" s="1150"/>
      <c r="D153" s="49"/>
      <c r="E153" s="50"/>
      <c r="F153" s="50"/>
      <c r="G153" s="48"/>
      <c r="H153" s="49"/>
      <c r="I153" s="598"/>
      <c r="J153" s="601"/>
      <c r="K153" s="49"/>
      <c r="L153" s="49"/>
      <c r="M153" s="49"/>
      <c r="N153" s="49"/>
      <c r="O153" s="1130"/>
      <c r="P153" s="1196"/>
      <c r="Q153" s="1136"/>
      <c r="R153" s="1000"/>
      <c r="S153" s="1000"/>
      <c r="T153" s="1110"/>
      <c r="U153" s="1014"/>
      <c r="V153" s="1014"/>
    </row>
    <row r="154" spans="2:22">
      <c r="B154" s="1207" t="s">
        <v>2973</v>
      </c>
      <c r="C154" s="1207"/>
      <c r="I154" s="722"/>
      <c r="J154" s="1214"/>
      <c r="K154" s="600"/>
      <c r="L154" s="479">
        <f>L155</f>
        <v>2500</v>
      </c>
      <c r="M154" s="479"/>
      <c r="N154" s="479">
        <f t="shared" ref="N154" si="54">N155</f>
        <v>2500</v>
      </c>
      <c r="O154" s="1130"/>
      <c r="P154" s="1196"/>
      <c r="Q154" s="1136"/>
      <c r="R154" s="479">
        <f t="shared" ref="R154:S154" si="55">R155</f>
        <v>2500</v>
      </c>
      <c r="S154" s="479">
        <f t="shared" si="55"/>
        <v>2500</v>
      </c>
      <c r="T154" s="1110"/>
      <c r="U154" s="1014"/>
      <c r="V154" s="1014"/>
    </row>
    <row r="155" spans="2:22" ht="30">
      <c r="B155" s="610" t="s">
        <v>1513</v>
      </c>
      <c r="C155" s="610"/>
      <c r="D155" s="252" t="s">
        <v>2974</v>
      </c>
      <c r="E155" s="621">
        <v>41250</v>
      </c>
      <c r="F155" s="621" t="s">
        <v>2878</v>
      </c>
      <c r="G155" s="251" t="s">
        <v>2973</v>
      </c>
      <c r="H155" s="251"/>
      <c r="I155" s="1037">
        <v>37501</v>
      </c>
      <c r="J155" s="1210"/>
      <c r="K155" s="49"/>
      <c r="L155" s="253">
        <v>2500</v>
      </c>
      <c r="M155" s="611"/>
      <c r="N155" s="611">
        <f>SUM(K155:M155)</f>
        <v>2500</v>
      </c>
      <c r="O155" s="623">
        <f>N155+I155</f>
        <v>40001</v>
      </c>
      <c r="P155" s="647" t="s">
        <v>110</v>
      </c>
      <c r="Q155" s="1218" t="s">
        <v>105</v>
      </c>
      <c r="R155" s="1107">
        <v>2500</v>
      </c>
      <c r="S155" s="1107">
        <v>2500</v>
      </c>
      <c r="T155" s="961" t="s">
        <v>2975</v>
      </c>
      <c r="U155" s="1014"/>
      <c r="V155" s="31" t="s">
        <v>2976</v>
      </c>
    </row>
    <row r="156" spans="2:22">
      <c r="B156" s="1150"/>
      <c r="C156" s="1150"/>
      <c r="D156" s="49"/>
      <c r="E156" s="50"/>
      <c r="F156" s="50"/>
      <c r="G156" s="48"/>
      <c r="H156" s="49"/>
      <c r="I156" s="598"/>
      <c r="J156" s="601"/>
      <c r="K156" s="49"/>
      <c r="L156" s="49"/>
      <c r="M156" s="49"/>
      <c r="N156" s="49"/>
      <c r="O156" s="1130"/>
      <c r="P156" s="1196"/>
      <c r="Q156" s="1136"/>
      <c r="R156" s="1000"/>
      <c r="S156" s="1000"/>
      <c r="T156" s="1110"/>
      <c r="U156" s="1014"/>
      <c r="V156" s="1014"/>
    </row>
    <row r="157" spans="2:22">
      <c r="B157" s="1206" t="s">
        <v>2977</v>
      </c>
      <c r="C157" s="1206"/>
      <c r="D157" s="49"/>
      <c r="E157" s="50"/>
      <c r="F157" s="50"/>
      <c r="G157" s="48"/>
      <c r="H157" s="49"/>
      <c r="I157" s="598"/>
      <c r="J157" s="601"/>
      <c r="K157" s="600"/>
      <c r="L157" s="600">
        <f>L158+L161+L164+L167+L170</f>
        <v>20400</v>
      </c>
      <c r="M157" s="600"/>
      <c r="N157" s="600">
        <f>N158+N161+N164+N167+N170</f>
        <v>20400</v>
      </c>
      <c r="O157" s="1130"/>
      <c r="P157" s="1196"/>
      <c r="Q157" s="1136"/>
      <c r="R157" s="600">
        <f t="shared" ref="R157:S157" si="56">R158+R161+R164+R167+R170</f>
        <v>20400</v>
      </c>
      <c r="S157" s="600">
        <f t="shared" si="56"/>
        <v>19589</v>
      </c>
      <c r="T157" s="1110"/>
      <c r="U157" s="1014"/>
      <c r="V157" s="1014"/>
    </row>
    <row r="158" spans="2:22">
      <c r="B158" s="1207" t="s">
        <v>2978</v>
      </c>
      <c r="C158" s="1207"/>
      <c r="I158" s="722"/>
      <c r="J158" s="1214"/>
      <c r="K158" s="600"/>
      <c r="L158" s="479">
        <f>L159</f>
        <v>250</v>
      </c>
      <c r="M158" s="479"/>
      <c r="N158" s="479">
        <f t="shared" ref="N158" si="57">N159</f>
        <v>250</v>
      </c>
      <c r="O158" s="622"/>
      <c r="P158" s="1196"/>
      <c r="Q158" s="623"/>
      <c r="R158" s="479">
        <f t="shared" ref="R158:S158" si="58">R159</f>
        <v>250</v>
      </c>
      <c r="S158" s="479">
        <f t="shared" si="58"/>
        <v>250</v>
      </c>
      <c r="T158" s="1110"/>
      <c r="U158" s="1014"/>
      <c r="V158" s="1014"/>
    </row>
    <row r="159" spans="2:22" ht="30">
      <c r="B159" s="610" t="s">
        <v>1513</v>
      </c>
      <c r="C159" s="610"/>
      <c r="D159" s="489" t="s">
        <v>2979</v>
      </c>
      <c r="E159" s="490">
        <v>41319</v>
      </c>
      <c r="F159" s="490" t="s">
        <v>5867</v>
      </c>
      <c r="G159" s="251" t="s">
        <v>5649</v>
      </c>
      <c r="H159" s="251"/>
      <c r="I159" s="722">
        <v>79489</v>
      </c>
      <c r="J159" s="1214"/>
      <c r="K159" s="49"/>
      <c r="L159" s="624">
        <v>250</v>
      </c>
      <c r="M159" s="620"/>
      <c r="N159" s="624">
        <f>SUM(K159:M159)</f>
        <v>250</v>
      </c>
      <c r="O159" s="1212">
        <f>N159+I159</f>
        <v>79739</v>
      </c>
      <c r="P159" s="647" t="s">
        <v>110</v>
      </c>
      <c r="Q159" s="1218" t="s">
        <v>105</v>
      </c>
      <c r="R159" s="1107">
        <v>250</v>
      </c>
      <c r="S159" s="1107">
        <v>250</v>
      </c>
      <c r="T159" s="961" t="s">
        <v>2980</v>
      </c>
      <c r="U159" s="1014"/>
      <c r="V159" s="31" t="s">
        <v>2981</v>
      </c>
    </row>
    <row r="160" spans="2:22">
      <c r="I160" s="722"/>
      <c r="J160" s="1214"/>
      <c r="K160" s="49"/>
      <c r="L160" s="624"/>
      <c r="M160" s="620"/>
      <c r="N160" s="624"/>
      <c r="O160" s="715"/>
      <c r="P160" s="1196"/>
      <c r="Q160" s="328"/>
      <c r="R160" s="1000"/>
      <c r="S160" s="1000"/>
      <c r="T160" s="1110"/>
      <c r="U160" s="1014"/>
      <c r="V160" s="31"/>
    </row>
    <row r="161" spans="2:22">
      <c r="B161" s="1207" t="s">
        <v>2982</v>
      </c>
      <c r="C161" s="1207"/>
      <c r="I161" s="722"/>
      <c r="J161" s="1214"/>
      <c r="K161" s="600"/>
      <c r="L161" s="479">
        <f>L162</f>
        <v>5000</v>
      </c>
      <c r="M161" s="479"/>
      <c r="N161" s="479">
        <f t="shared" ref="N161" si="59">N162</f>
        <v>5000</v>
      </c>
      <c r="O161" s="622"/>
      <c r="P161" s="1196"/>
      <c r="Q161" s="623"/>
      <c r="R161" s="479">
        <f t="shared" ref="R161:S161" si="60">R162</f>
        <v>5000</v>
      </c>
      <c r="S161" s="479">
        <f t="shared" si="60"/>
        <v>4189</v>
      </c>
      <c r="T161" s="1110"/>
      <c r="U161" s="1014"/>
      <c r="V161" s="31"/>
    </row>
    <row r="162" spans="2:22" ht="30">
      <c r="B162" s="610" t="s">
        <v>1513</v>
      </c>
      <c r="C162" s="610"/>
      <c r="D162" s="489" t="s">
        <v>2983</v>
      </c>
      <c r="E162" s="490">
        <v>41290</v>
      </c>
      <c r="F162" s="490" t="s">
        <v>5856</v>
      </c>
      <c r="G162" s="251" t="s">
        <v>5649</v>
      </c>
      <c r="H162" s="251"/>
      <c r="I162" s="1037">
        <v>71267</v>
      </c>
      <c r="J162" s="1210"/>
      <c r="K162" s="49"/>
      <c r="L162" s="624">
        <v>5000</v>
      </c>
      <c r="M162" s="620"/>
      <c r="N162" s="624">
        <f>SUM(K162:M162)</f>
        <v>5000</v>
      </c>
      <c r="O162" s="1219">
        <f>N162+I162</f>
        <v>76267</v>
      </c>
      <c r="P162" s="647" t="s">
        <v>110</v>
      </c>
      <c r="Q162" s="1218" t="s">
        <v>105</v>
      </c>
      <c r="R162" s="1107">
        <v>5000</v>
      </c>
      <c r="S162" s="1107">
        <v>4189</v>
      </c>
      <c r="T162" s="961" t="s">
        <v>4651</v>
      </c>
      <c r="U162" s="1014"/>
      <c r="V162" s="31" t="s">
        <v>2984</v>
      </c>
    </row>
    <row r="163" spans="2:22">
      <c r="I163" s="722"/>
      <c r="J163" s="1214"/>
      <c r="K163" s="49"/>
      <c r="L163" s="624"/>
      <c r="M163" s="620"/>
      <c r="N163" s="624"/>
      <c r="O163" s="715"/>
      <c r="P163" s="1196"/>
      <c r="Q163" s="328"/>
      <c r="R163" s="1000"/>
      <c r="S163" s="1000"/>
      <c r="T163" s="1110"/>
      <c r="U163" s="1014"/>
      <c r="V163" s="31"/>
    </row>
    <row r="164" spans="2:22">
      <c r="B164" s="1207" t="s">
        <v>2985</v>
      </c>
      <c r="C164" s="1207"/>
      <c r="I164" s="722"/>
      <c r="J164" s="1214"/>
      <c r="K164" s="600"/>
      <c r="L164" s="479">
        <f>L165</f>
        <v>150</v>
      </c>
      <c r="M164" s="479"/>
      <c r="N164" s="479">
        <f t="shared" ref="N164" si="61">N165</f>
        <v>150</v>
      </c>
      <c r="O164" s="622"/>
      <c r="P164" s="1196"/>
      <c r="Q164" s="623"/>
      <c r="R164" s="479">
        <f t="shared" ref="R164:S164" si="62">R165</f>
        <v>150</v>
      </c>
      <c r="S164" s="479">
        <f t="shared" si="62"/>
        <v>150</v>
      </c>
      <c r="T164" s="1110"/>
      <c r="U164" s="1014"/>
      <c r="V164" s="31"/>
    </row>
    <row r="165" spans="2:22" ht="30">
      <c r="B165" s="610" t="s">
        <v>1513</v>
      </c>
      <c r="C165" s="610"/>
      <c r="D165" s="489" t="s">
        <v>2986</v>
      </c>
      <c r="E165" s="490">
        <v>41260</v>
      </c>
      <c r="F165" s="490" t="s">
        <v>5856</v>
      </c>
      <c r="G165" s="251" t="s">
        <v>5649</v>
      </c>
      <c r="H165" s="251"/>
      <c r="I165" s="1037">
        <v>112731</v>
      </c>
      <c r="J165" s="1210"/>
      <c r="K165" s="49"/>
      <c r="L165" s="624">
        <v>150</v>
      </c>
      <c r="M165" s="624"/>
      <c r="N165" s="611">
        <f>SUM(K165:M165)</f>
        <v>150</v>
      </c>
      <c r="O165" s="623">
        <f>N165+I165</f>
        <v>112881</v>
      </c>
      <c r="P165" s="647" t="s">
        <v>2820</v>
      </c>
      <c r="Q165" s="1218" t="s">
        <v>2909</v>
      </c>
      <c r="R165" s="1107">
        <v>150</v>
      </c>
      <c r="S165" s="1107">
        <v>150</v>
      </c>
      <c r="T165" s="961" t="s">
        <v>2987</v>
      </c>
      <c r="U165" s="1014"/>
      <c r="V165" s="31" t="s">
        <v>2988</v>
      </c>
    </row>
    <row r="166" spans="2:22">
      <c r="I166" s="722"/>
      <c r="J166" s="1214"/>
      <c r="K166" s="49"/>
      <c r="L166" s="624"/>
      <c r="M166" s="620"/>
      <c r="N166" s="624"/>
      <c r="O166" s="715"/>
      <c r="P166" s="1196"/>
      <c r="Q166" s="328"/>
      <c r="R166" s="1000"/>
      <c r="S166" s="1000"/>
      <c r="T166" s="1110"/>
      <c r="U166" s="1014"/>
      <c r="V166" s="31"/>
    </row>
    <row r="167" spans="2:22">
      <c r="B167" s="1207" t="s">
        <v>2989</v>
      </c>
      <c r="C167" s="1207"/>
      <c r="I167" s="722"/>
      <c r="J167" s="1214"/>
      <c r="K167" s="600"/>
      <c r="L167" s="479">
        <f>L168</f>
        <v>5000</v>
      </c>
      <c r="M167" s="479"/>
      <c r="N167" s="479">
        <f t="shared" ref="N167" si="63">N168</f>
        <v>5000</v>
      </c>
      <c r="O167" s="622"/>
      <c r="P167" s="1196"/>
      <c r="Q167" s="623"/>
      <c r="R167" s="479">
        <f t="shared" ref="R167:S167" si="64">R168</f>
        <v>5000</v>
      </c>
      <c r="S167" s="479">
        <f t="shared" si="64"/>
        <v>5000</v>
      </c>
      <c r="T167" s="1110"/>
      <c r="U167" s="1014"/>
      <c r="V167" s="31"/>
    </row>
    <row r="168" spans="2:22" ht="30">
      <c r="B168" s="610" t="s">
        <v>1513</v>
      </c>
      <c r="C168" s="610"/>
      <c r="D168" s="489" t="s">
        <v>2990</v>
      </c>
      <c r="E168" s="490">
        <v>41312</v>
      </c>
      <c r="F168" s="490" t="s">
        <v>5867</v>
      </c>
      <c r="G168" s="251" t="s">
        <v>5649</v>
      </c>
      <c r="H168" s="251"/>
      <c r="I168" s="722">
        <v>21797</v>
      </c>
      <c r="J168" s="1214"/>
      <c r="K168" s="49"/>
      <c r="L168" s="624">
        <v>5000</v>
      </c>
      <c r="M168" s="620"/>
      <c r="N168" s="624">
        <f>SUM(K168:M168)</f>
        <v>5000</v>
      </c>
      <c r="O168" s="1212">
        <f>N168+I168</f>
        <v>26797</v>
      </c>
      <c r="P168" s="647" t="s">
        <v>110</v>
      </c>
      <c r="Q168" s="1218" t="s">
        <v>105</v>
      </c>
      <c r="R168" s="1107">
        <v>5000</v>
      </c>
      <c r="S168" s="1107">
        <v>5000</v>
      </c>
      <c r="T168" s="1007" t="s">
        <v>2923</v>
      </c>
      <c r="U168" s="1014"/>
      <c r="V168" s="31" t="s">
        <v>2991</v>
      </c>
    </row>
    <row r="169" spans="2:22">
      <c r="B169" s="1150"/>
      <c r="C169" s="1150"/>
      <c r="D169" s="49"/>
      <c r="E169" s="50"/>
      <c r="F169" s="50"/>
      <c r="G169" s="48"/>
      <c r="H169" s="49"/>
      <c r="I169" s="598"/>
      <c r="J169" s="601"/>
      <c r="K169" s="49"/>
      <c r="L169" s="49"/>
      <c r="M169" s="49"/>
      <c r="N169" s="49"/>
      <c r="O169" s="1130"/>
      <c r="P169" s="1196"/>
      <c r="Q169" s="1136"/>
      <c r="R169" s="1000"/>
      <c r="S169" s="1000"/>
      <c r="T169" s="1110"/>
      <c r="U169" s="1014"/>
      <c r="V169" s="1014"/>
    </row>
    <row r="170" spans="2:22">
      <c r="B170" s="1207" t="s">
        <v>1466</v>
      </c>
      <c r="C170" s="1207"/>
      <c r="D170" s="49"/>
      <c r="E170" s="50"/>
      <c r="F170" s="50"/>
      <c r="G170" s="48"/>
      <c r="H170" s="49"/>
      <c r="I170" s="1220">
        <v>59406</v>
      </c>
      <c r="J170" s="1221"/>
      <c r="K170" s="600"/>
      <c r="L170" s="479">
        <f>SUM(L171:L173)</f>
        <v>10000</v>
      </c>
      <c r="M170" s="479"/>
      <c r="N170" s="479">
        <f t="shared" ref="N170" si="65">SUM(N171:N173)</f>
        <v>10000</v>
      </c>
      <c r="O170" s="622">
        <f>N170+I170</f>
        <v>69406</v>
      </c>
      <c r="P170" s="1196"/>
      <c r="Q170" s="623"/>
      <c r="R170" s="479">
        <f t="shared" ref="R170:S170" si="66">SUM(R171:R173)</f>
        <v>10000</v>
      </c>
      <c r="S170" s="479">
        <f t="shared" si="66"/>
        <v>10000</v>
      </c>
      <c r="T170" s="1110"/>
      <c r="U170" s="1014"/>
      <c r="V170" s="1014"/>
    </row>
    <row r="171" spans="2:22" ht="30">
      <c r="B171" s="610" t="s">
        <v>1513</v>
      </c>
      <c r="C171" s="610"/>
      <c r="D171" s="252" t="s">
        <v>2992</v>
      </c>
      <c r="E171" s="621">
        <v>41225</v>
      </c>
      <c r="F171" s="490" t="s">
        <v>5867</v>
      </c>
      <c r="G171" s="251" t="s">
        <v>5649</v>
      </c>
      <c r="H171" s="251"/>
      <c r="I171" s="598"/>
      <c r="J171" s="601"/>
      <c r="K171" s="49"/>
      <c r="L171" s="253">
        <v>2500</v>
      </c>
      <c r="M171" s="611"/>
      <c r="N171" s="611">
        <f t="shared" ref="N171:N172" si="67">SUM(K171:M171)</f>
        <v>2500</v>
      </c>
      <c r="O171" s="1130"/>
      <c r="P171" s="647" t="s">
        <v>2820</v>
      </c>
      <c r="Q171" s="1218" t="s">
        <v>2909</v>
      </c>
      <c r="R171" s="1107">
        <f>2283+217</f>
        <v>2500</v>
      </c>
      <c r="S171" s="1107">
        <f>2283+217</f>
        <v>2500</v>
      </c>
      <c r="T171" s="1007" t="s">
        <v>2923</v>
      </c>
      <c r="U171" s="1014"/>
      <c r="V171" s="31" t="s">
        <v>2993</v>
      </c>
    </row>
    <row r="172" spans="2:22" ht="30">
      <c r="B172" s="610" t="s">
        <v>1513</v>
      </c>
      <c r="C172" s="610"/>
      <c r="D172" s="252" t="s">
        <v>2994</v>
      </c>
      <c r="E172" s="621">
        <v>41260</v>
      </c>
      <c r="F172" s="490" t="s">
        <v>5867</v>
      </c>
      <c r="G172" s="251" t="s">
        <v>5649</v>
      </c>
      <c r="H172" s="251"/>
      <c r="I172" s="598"/>
      <c r="J172" s="601"/>
      <c r="K172" s="49"/>
      <c r="L172" s="253">
        <v>5000</v>
      </c>
      <c r="M172" s="611"/>
      <c r="N172" s="611">
        <f t="shared" si="67"/>
        <v>5000</v>
      </c>
      <c r="O172" s="1130"/>
      <c r="P172" s="647" t="s">
        <v>2820</v>
      </c>
      <c r="Q172" s="1218" t="s">
        <v>2909</v>
      </c>
      <c r="R172" s="1107">
        <f>3650+1350</f>
        <v>5000</v>
      </c>
      <c r="S172" s="1107">
        <f>3650+1350</f>
        <v>5000</v>
      </c>
      <c r="T172" s="1007" t="s">
        <v>2923</v>
      </c>
      <c r="U172" s="1014"/>
      <c r="V172" s="31" t="s">
        <v>2993</v>
      </c>
    </row>
    <row r="173" spans="2:22">
      <c r="B173" s="610" t="s">
        <v>1513</v>
      </c>
      <c r="C173" s="610"/>
      <c r="D173" s="489" t="s">
        <v>2995</v>
      </c>
      <c r="E173" s="490">
        <v>41338</v>
      </c>
      <c r="F173" s="490" t="s">
        <v>4973</v>
      </c>
      <c r="G173" s="251" t="s">
        <v>1466</v>
      </c>
      <c r="H173" s="49"/>
      <c r="I173" s="598"/>
      <c r="J173" s="601"/>
      <c r="K173" s="49"/>
      <c r="L173" s="624">
        <v>2500</v>
      </c>
      <c r="M173" s="620"/>
      <c r="N173" s="624">
        <f>SUM(L173:M173)</f>
        <v>2500</v>
      </c>
      <c r="O173" s="1130"/>
      <c r="P173" s="1196"/>
      <c r="Q173" s="1136"/>
      <c r="R173" s="1000">
        <v>2500</v>
      </c>
      <c r="S173" s="1000">
        <v>2500</v>
      </c>
      <c r="T173" s="1007" t="s">
        <v>2923</v>
      </c>
      <c r="U173" s="1014"/>
      <c r="V173" s="1014"/>
    </row>
    <row r="174" spans="2:22">
      <c r="B174" s="1150"/>
      <c r="C174" s="1150"/>
      <c r="D174" s="49"/>
      <c r="E174" s="50"/>
      <c r="F174" s="50"/>
      <c r="G174" s="48"/>
      <c r="H174" s="49"/>
      <c r="I174" s="598"/>
      <c r="J174" s="601"/>
      <c r="K174" s="49"/>
      <c r="L174" s="49"/>
      <c r="M174" s="49"/>
      <c r="N174" s="49"/>
      <c r="O174" s="1130"/>
      <c r="P174" s="1196"/>
      <c r="Q174" s="1136"/>
      <c r="R174" s="1000"/>
      <c r="S174" s="1000"/>
      <c r="T174" s="1110"/>
      <c r="U174" s="1014"/>
      <c r="V174" s="1014"/>
    </row>
    <row r="175" spans="2:22">
      <c r="B175" s="1206" t="s">
        <v>2996</v>
      </c>
      <c r="C175" s="1206"/>
      <c r="D175" s="49"/>
      <c r="E175" s="50"/>
      <c r="F175" s="50"/>
      <c r="G175" s="48"/>
      <c r="H175" s="49"/>
      <c r="I175" s="598"/>
      <c r="J175" s="601"/>
      <c r="K175" s="600"/>
      <c r="L175" s="600">
        <f>L176+L180</f>
        <v>10808.895</v>
      </c>
      <c r="M175" s="600"/>
      <c r="N175" s="600">
        <f>N176+N180</f>
        <v>10808.895</v>
      </c>
      <c r="O175" s="1130"/>
      <c r="P175" s="1196"/>
      <c r="Q175" s="1136"/>
      <c r="R175" s="600">
        <f t="shared" ref="R175:S175" si="68">R176+R180</f>
        <v>0</v>
      </c>
      <c r="S175" s="600">
        <f t="shared" si="68"/>
        <v>0</v>
      </c>
      <c r="T175" s="1110"/>
      <c r="U175" s="1014"/>
      <c r="V175" s="1014"/>
    </row>
    <row r="176" spans="2:22">
      <c r="B176" s="1207" t="s">
        <v>2997</v>
      </c>
      <c r="C176" s="1207"/>
      <c r="I176" s="722">
        <v>44171</v>
      </c>
      <c r="J176" s="1214"/>
      <c r="K176" s="600"/>
      <c r="L176" s="479">
        <f>SUM(L177:L178)</f>
        <v>5058.8950000000004</v>
      </c>
      <c r="M176" s="479"/>
      <c r="N176" s="479">
        <f t="shared" ref="N176" si="69">SUM(N177:N178)</f>
        <v>5058.8950000000004</v>
      </c>
      <c r="O176" s="622">
        <f>N176+I176</f>
        <v>49229.895000000004</v>
      </c>
      <c r="P176" s="1196"/>
      <c r="Q176" s="623"/>
      <c r="R176" s="479">
        <f t="shared" ref="R176:S176" si="70">SUM(R177:R178)</f>
        <v>0</v>
      </c>
      <c r="S176" s="479">
        <f t="shared" si="70"/>
        <v>0</v>
      </c>
      <c r="T176" s="1110"/>
      <c r="U176" s="1014"/>
      <c r="V176" s="1014"/>
    </row>
    <row r="177" spans="2:22" ht="30">
      <c r="B177" s="610" t="s">
        <v>1513</v>
      </c>
      <c r="C177" s="610"/>
      <c r="D177" s="252" t="s">
        <v>2998</v>
      </c>
      <c r="E177" s="621">
        <v>41263</v>
      </c>
      <c r="F177" s="621" t="s">
        <v>2878</v>
      </c>
      <c r="G177" s="251" t="s">
        <v>2997</v>
      </c>
      <c r="H177" s="251"/>
      <c r="I177" s="722"/>
      <c r="J177" s="1214"/>
      <c r="K177" s="49"/>
      <c r="L177" s="253">
        <v>4558.8950000000004</v>
      </c>
      <c r="M177" s="611"/>
      <c r="N177" s="611">
        <f>SUM(K177:M177)</f>
        <v>4558.8950000000004</v>
      </c>
      <c r="O177" s="715"/>
      <c r="P177" s="647" t="s">
        <v>2820</v>
      </c>
      <c r="Q177" s="1218" t="s">
        <v>2909</v>
      </c>
      <c r="R177" s="1000"/>
      <c r="S177" s="1000"/>
      <c r="T177" s="1110"/>
      <c r="U177" s="1014"/>
      <c r="V177" s="31" t="s">
        <v>2999</v>
      </c>
    </row>
    <row r="178" spans="2:22">
      <c r="B178" s="610" t="s">
        <v>1513</v>
      </c>
      <c r="C178" s="610"/>
      <c r="D178" s="489" t="s">
        <v>3000</v>
      </c>
      <c r="E178" s="490">
        <v>41290</v>
      </c>
      <c r="F178" s="490" t="s">
        <v>5856</v>
      </c>
      <c r="G178" s="251" t="s">
        <v>5649</v>
      </c>
      <c r="H178" s="251"/>
      <c r="I178" s="722"/>
      <c r="J178" s="1214"/>
      <c r="K178" s="49"/>
      <c r="L178" s="624">
        <v>500</v>
      </c>
      <c r="M178" s="620"/>
      <c r="N178" s="624">
        <f>SUM(K178:M178)</f>
        <v>500</v>
      </c>
      <c r="O178" s="715"/>
      <c r="P178" s="1196"/>
      <c r="Q178" s="328"/>
      <c r="R178" s="1000"/>
      <c r="S178" s="1000"/>
      <c r="T178" s="1110"/>
      <c r="U178" s="1014"/>
      <c r="V178" s="31" t="s">
        <v>2999</v>
      </c>
    </row>
    <row r="179" spans="2:22">
      <c r="B179" s="610"/>
      <c r="C179" s="610"/>
      <c r="D179" s="49"/>
      <c r="E179" s="50"/>
      <c r="F179" s="50"/>
      <c r="G179" s="48"/>
      <c r="H179" s="49"/>
      <c r="I179" s="598"/>
      <c r="J179" s="601"/>
      <c r="K179" s="49"/>
      <c r="L179" s="49"/>
      <c r="M179" s="49"/>
      <c r="N179" s="49"/>
      <c r="O179" s="1130"/>
      <c r="P179" s="1196"/>
      <c r="Q179" s="1136"/>
      <c r="R179" s="1000"/>
      <c r="S179" s="1000"/>
      <c r="T179" s="1110"/>
      <c r="U179" s="1014"/>
      <c r="V179" s="1014"/>
    </row>
    <row r="180" spans="2:22">
      <c r="B180" s="1207" t="s">
        <v>196</v>
      </c>
      <c r="C180" s="1207"/>
      <c r="D180" s="482"/>
      <c r="E180" s="483"/>
      <c r="F180" s="483"/>
      <c r="G180" s="199"/>
      <c r="H180" s="498"/>
      <c r="I180" s="598"/>
      <c r="J180" s="601"/>
      <c r="K180" s="600"/>
      <c r="L180" s="479">
        <f>SUM(L181:L185)</f>
        <v>5750</v>
      </c>
      <c r="M180" s="479"/>
      <c r="N180" s="479">
        <f>SUM(N181:N185)</f>
        <v>5750</v>
      </c>
      <c r="O180" s="1130"/>
      <c r="P180" s="1196"/>
      <c r="Q180" s="1136"/>
      <c r="R180" s="479">
        <f t="shared" ref="R180:S180" si="71">SUM(R181:R185)</f>
        <v>0</v>
      </c>
      <c r="S180" s="479">
        <f t="shared" si="71"/>
        <v>0</v>
      </c>
      <c r="T180" s="1110"/>
      <c r="U180" s="1014"/>
      <c r="V180" s="1014"/>
    </row>
    <row r="181" spans="2:22" ht="30">
      <c r="B181" s="626" t="s">
        <v>3001</v>
      </c>
      <c r="C181" s="626"/>
      <c r="D181" s="252" t="s">
        <v>3002</v>
      </c>
      <c r="E181" s="621">
        <v>41250</v>
      </c>
      <c r="F181" s="621" t="s">
        <v>1537</v>
      </c>
      <c r="G181" s="98" t="s">
        <v>196</v>
      </c>
      <c r="H181" s="251"/>
      <c r="I181" s="598"/>
      <c r="J181" s="601"/>
      <c r="K181" s="49"/>
      <c r="L181" s="253">
        <v>2000</v>
      </c>
      <c r="M181" s="611"/>
      <c r="N181" s="611">
        <f>SUM(K181:M181)</f>
        <v>2000</v>
      </c>
      <c r="O181" s="1130"/>
      <c r="P181" s="647" t="s">
        <v>2820</v>
      </c>
      <c r="Q181" s="1218" t="s">
        <v>2909</v>
      </c>
      <c r="R181" s="1000"/>
      <c r="S181" s="1000"/>
      <c r="T181" s="1110"/>
      <c r="U181" s="1014"/>
      <c r="V181" s="12" t="s">
        <v>199</v>
      </c>
    </row>
    <row r="182" spans="2:22" ht="30">
      <c r="B182" s="626" t="s">
        <v>3001</v>
      </c>
      <c r="C182" s="626"/>
      <c r="D182" s="252" t="s">
        <v>3003</v>
      </c>
      <c r="E182" s="621">
        <v>41263</v>
      </c>
      <c r="F182" s="621" t="s">
        <v>1537</v>
      </c>
      <c r="G182" s="98" t="s">
        <v>196</v>
      </c>
      <c r="H182" s="251"/>
      <c r="I182" s="598"/>
      <c r="J182" s="601"/>
      <c r="K182" s="49"/>
      <c r="L182" s="253">
        <v>1500</v>
      </c>
      <c r="M182" s="611"/>
      <c r="N182" s="611">
        <f>SUM(K182:M182)</f>
        <v>1500</v>
      </c>
      <c r="O182" s="1130"/>
      <c r="P182" s="647" t="s">
        <v>2820</v>
      </c>
      <c r="Q182" s="1218" t="s">
        <v>2909</v>
      </c>
      <c r="R182" s="1000"/>
      <c r="S182" s="1000"/>
      <c r="T182" s="1110"/>
      <c r="U182" s="1014"/>
      <c r="V182" s="12" t="s">
        <v>199</v>
      </c>
    </row>
    <row r="183" spans="2:22" ht="30">
      <c r="B183" s="627" t="s">
        <v>2683</v>
      </c>
      <c r="C183" s="627"/>
      <c r="D183" s="489" t="s">
        <v>3004</v>
      </c>
      <c r="E183" s="490">
        <v>41290</v>
      </c>
      <c r="F183" s="490" t="s">
        <v>5867</v>
      </c>
      <c r="G183" s="72" t="s">
        <v>5868</v>
      </c>
      <c r="H183" s="488"/>
      <c r="I183" s="598"/>
      <c r="J183" s="601"/>
      <c r="K183" s="49"/>
      <c r="L183" s="624">
        <v>250</v>
      </c>
      <c r="M183" s="620"/>
      <c r="N183" s="624">
        <f t="shared" ref="N183:N185" si="72">SUM(K183:M183)</f>
        <v>250</v>
      </c>
      <c r="O183" s="1130"/>
      <c r="P183" s="647" t="s">
        <v>110</v>
      </c>
      <c r="Q183" s="1218" t="s">
        <v>105</v>
      </c>
      <c r="R183" s="1000"/>
      <c r="S183" s="1000"/>
      <c r="T183" s="1110"/>
      <c r="U183" s="1014"/>
      <c r="V183" s="12" t="s">
        <v>199</v>
      </c>
    </row>
    <row r="184" spans="2:22" ht="30">
      <c r="B184" s="627" t="s">
        <v>2683</v>
      </c>
      <c r="C184" s="627"/>
      <c r="D184" s="489" t="s">
        <v>3005</v>
      </c>
      <c r="E184" s="490">
        <v>41337</v>
      </c>
      <c r="F184" s="490" t="s">
        <v>1537</v>
      </c>
      <c r="G184" s="72" t="s">
        <v>5734</v>
      </c>
      <c r="H184" s="488"/>
      <c r="I184" s="598"/>
      <c r="J184" s="601"/>
      <c r="K184" s="49"/>
      <c r="L184" s="624">
        <v>1000</v>
      </c>
      <c r="M184" s="620"/>
      <c r="N184" s="624">
        <f t="shared" si="72"/>
        <v>1000</v>
      </c>
      <c r="O184" s="1130"/>
      <c r="P184" s="647" t="s">
        <v>110</v>
      </c>
      <c r="Q184" s="1218" t="s">
        <v>105</v>
      </c>
      <c r="R184" s="1000"/>
      <c r="S184" s="1000"/>
      <c r="T184" s="1110"/>
      <c r="U184" s="1014"/>
      <c r="V184" s="12" t="s">
        <v>199</v>
      </c>
    </row>
    <row r="185" spans="2:22" ht="30">
      <c r="B185" s="627" t="s">
        <v>2683</v>
      </c>
      <c r="C185" s="627"/>
      <c r="D185" s="489" t="s">
        <v>3006</v>
      </c>
      <c r="E185" s="490">
        <v>41348</v>
      </c>
      <c r="F185" s="490" t="s">
        <v>5658</v>
      </c>
      <c r="G185" s="72" t="s">
        <v>5734</v>
      </c>
      <c r="H185" s="488"/>
      <c r="I185" s="598"/>
      <c r="J185" s="601"/>
      <c r="K185" s="49"/>
      <c r="L185" s="624">
        <v>1000</v>
      </c>
      <c r="M185" s="620"/>
      <c r="N185" s="624">
        <f t="shared" si="72"/>
        <v>1000</v>
      </c>
      <c r="O185" s="1130"/>
      <c r="P185" s="647" t="s">
        <v>110</v>
      </c>
      <c r="Q185" s="1218" t="s">
        <v>105</v>
      </c>
      <c r="R185" s="1000"/>
      <c r="S185" s="1000"/>
      <c r="T185" s="1110"/>
      <c r="U185" s="1014"/>
      <c r="V185" s="12" t="s">
        <v>199</v>
      </c>
    </row>
    <row r="186" spans="2:22">
      <c r="B186" s="1206" t="s">
        <v>3007</v>
      </c>
      <c r="C186" s="1206"/>
      <c r="D186" s="49"/>
      <c r="E186" s="50"/>
      <c r="F186" s="50"/>
      <c r="G186" s="48"/>
      <c r="H186" s="49"/>
      <c r="I186" s="598"/>
      <c r="J186" s="601"/>
      <c r="K186" s="600"/>
      <c r="L186" s="600">
        <f>L187+L190</f>
        <v>4500</v>
      </c>
      <c r="M186" s="600"/>
      <c r="N186" s="600">
        <f>N187+N190</f>
        <v>4500</v>
      </c>
      <c r="O186" s="1130"/>
      <c r="P186" s="1196"/>
      <c r="Q186" s="1136"/>
      <c r="R186" s="600">
        <f t="shared" ref="R186:S186" si="73">R187+R190</f>
        <v>4500</v>
      </c>
      <c r="S186" s="600">
        <f t="shared" si="73"/>
        <v>4500</v>
      </c>
      <c r="T186" s="1110"/>
      <c r="U186" s="1014"/>
      <c r="V186" s="1014"/>
    </row>
    <row r="187" spans="2:22">
      <c r="B187" s="1207" t="s">
        <v>1482</v>
      </c>
      <c r="C187" s="1207"/>
      <c r="D187" s="49"/>
      <c r="E187" s="50"/>
      <c r="F187" s="50"/>
      <c r="G187" s="48"/>
      <c r="H187" s="49"/>
      <c r="I187" s="598"/>
      <c r="J187" s="601"/>
      <c r="K187" s="600"/>
      <c r="L187" s="479">
        <f>SUM(L188)</f>
        <v>500</v>
      </c>
      <c r="M187" s="479"/>
      <c r="N187" s="479">
        <f>SUM(N188)</f>
        <v>500</v>
      </c>
      <c r="O187" s="1130"/>
      <c r="P187" s="1196"/>
      <c r="Q187" s="1136"/>
      <c r="R187" s="479">
        <f t="shared" ref="R187:S187" si="74">SUM(R188)</f>
        <v>500</v>
      </c>
      <c r="S187" s="479">
        <f t="shared" si="74"/>
        <v>500</v>
      </c>
      <c r="T187" s="1110"/>
      <c r="U187" s="1014"/>
      <c r="V187" s="1014"/>
    </row>
    <row r="188" spans="2:22" ht="30">
      <c r="B188" s="610" t="s">
        <v>1513</v>
      </c>
      <c r="C188" s="610"/>
      <c r="D188" s="489" t="s">
        <v>3008</v>
      </c>
      <c r="E188" s="490">
        <v>41271</v>
      </c>
      <c r="F188" s="490" t="s">
        <v>2869</v>
      </c>
      <c r="G188" s="497" t="s">
        <v>5649</v>
      </c>
      <c r="H188" s="251"/>
      <c r="I188" s="722">
        <v>49275</v>
      </c>
      <c r="J188" s="1214"/>
      <c r="K188" s="49"/>
      <c r="L188" s="624">
        <v>500</v>
      </c>
      <c r="M188" s="624"/>
      <c r="N188" s="611">
        <f>SUM(K188:M188)</f>
        <v>500</v>
      </c>
      <c r="O188" s="622">
        <f>N188+I188</f>
        <v>49775</v>
      </c>
      <c r="P188" s="647" t="s">
        <v>110</v>
      </c>
      <c r="Q188" s="1218" t="s">
        <v>105</v>
      </c>
      <c r="R188" s="1000">
        <v>500</v>
      </c>
      <c r="S188" s="1000">
        <v>500</v>
      </c>
      <c r="T188" s="1110">
        <v>112</v>
      </c>
      <c r="U188" s="1014"/>
      <c r="V188" s="31" t="s">
        <v>3009</v>
      </c>
    </row>
    <row r="189" spans="2:22">
      <c r="B189" s="1150"/>
      <c r="C189" s="1150"/>
      <c r="D189" s="49"/>
      <c r="E189" s="50"/>
      <c r="F189" s="50"/>
      <c r="G189" s="48"/>
      <c r="H189" s="49"/>
      <c r="I189" s="598"/>
      <c r="J189" s="601"/>
      <c r="K189" s="49"/>
      <c r="L189" s="49"/>
      <c r="M189" s="49"/>
      <c r="N189" s="49"/>
      <c r="O189" s="1130"/>
      <c r="P189" s="1196"/>
      <c r="Q189" s="1136"/>
      <c r="R189" s="1000"/>
      <c r="S189" s="1000"/>
      <c r="T189" s="1110"/>
      <c r="U189" s="1222"/>
      <c r="V189" s="1014"/>
    </row>
    <row r="190" spans="2:22">
      <c r="B190" s="1207" t="s">
        <v>1485</v>
      </c>
      <c r="C190" s="1207"/>
      <c r="D190" s="49"/>
      <c r="E190" s="50"/>
      <c r="F190" s="50"/>
      <c r="G190" s="48"/>
      <c r="H190" s="49"/>
      <c r="I190" s="722">
        <v>176448</v>
      </c>
      <c r="J190" s="1214"/>
      <c r="K190" s="600"/>
      <c r="L190" s="479">
        <f>SUM(L191:L192)</f>
        <v>4000</v>
      </c>
      <c r="M190" s="479"/>
      <c r="N190" s="479">
        <f>SUM(N191:N192)</f>
        <v>4000</v>
      </c>
      <c r="O190" s="622">
        <f>N190+I190</f>
        <v>180448</v>
      </c>
      <c r="P190" s="1196"/>
      <c r="Q190" s="623"/>
      <c r="R190" s="479">
        <f t="shared" ref="R190:S190" si="75">SUM(R191:R192)</f>
        <v>4000</v>
      </c>
      <c r="S190" s="479">
        <f t="shared" si="75"/>
        <v>4000</v>
      </c>
      <c r="T190" s="1110"/>
      <c r="U190" s="1222"/>
      <c r="V190" s="1014"/>
    </row>
    <row r="191" spans="2:22" ht="30">
      <c r="B191" s="610" t="s">
        <v>1513</v>
      </c>
      <c r="C191" s="610"/>
      <c r="D191" s="489" t="s">
        <v>3010</v>
      </c>
      <c r="E191" s="490">
        <v>41225</v>
      </c>
      <c r="F191" s="490" t="s">
        <v>2869</v>
      </c>
      <c r="G191" s="497" t="s">
        <v>5649</v>
      </c>
      <c r="H191" s="251"/>
      <c r="I191" s="486"/>
      <c r="J191" s="1211"/>
      <c r="K191" s="49"/>
      <c r="L191" s="624">
        <v>1000</v>
      </c>
      <c r="M191" s="624"/>
      <c r="N191" s="611">
        <f>SUM(K191:M191)</f>
        <v>1000</v>
      </c>
      <c r="O191" s="1130"/>
      <c r="P191" s="647" t="s">
        <v>110</v>
      </c>
      <c r="Q191" s="1218" t="s">
        <v>105</v>
      </c>
      <c r="R191" s="1107">
        <v>1000</v>
      </c>
      <c r="S191" s="1107">
        <v>1000</v>
      </c>
      <c r="T191" s="961">
        <v>102</v>
      </c>
      <c r="U191" s="1222"/>
      <c r="V191" s="12" t="s">
        <v>3011</v>
      </c>
    </row>
    <row r="192" spans="2:22" ht="30">
      <c r="B192" s="610" t="s">
        <v>1513</v>
      </c>
      <c r="C192" s="610"/>
      <c r="D192" s="489" t="s">
        <v>3012</v>
      </c>
      <c r="E192" s="490">
        <v>41271</v>
      </c>
      <c r="F192" s="490" t="s">
        <v>2869</v>
      </c>
      <c r="G192" s="497" t="s">
        <v>5649</v>
      </c>
      <c r="H192" s="251"/>
      <c r="I192" s="486"/>
      <c r="J192" s="1211"/>
      <c r="K192" s="49"/>
      <c r="L192" s="624">
        <v>3000</v>
      </c>
      <c r="M192" s="624"/>
      <c r="N192" s="611">
        <f>SUM(K192:M192)</f>
        <v>3000</v>
      </c>
      <c r="O192" s="1130"/>
      <c r="P192" s="647" t="s">
        <v>110</v>
      </c>
      <c r="Q192" s="1218" t="s">
        <v>105</v>
      </c>
      <c r="R192" s="1107">
        <v>3000</v>
      </c>
      <c r="S192" s="1107">
        <v>3000</v>
      </c>
      <c r="T192" s="961">
        <v>650</v>
      </c>
      <c r="U192" s="1222"/>
      <c r="V192" s="12" t="s">
        <v>3011</v>
      </c>
    </row>
    <row r="193" spans="2:22">
      <c r="B193" s="1150"/>
      <c r="C193" s="1150"/>
      <c r="D193" s="49"/>
      <c r="E193" s="50"/>
      <c r="F193" s="50"/>
      <c r="G193" s="48"/>
      <c r="H193" s="49"/>
      <c r="I193" s="598"/>
      <c r="J193" s="601"/>
      <c r="K193" s="49"/>
      <c r="L193" s="49"/>
      <c r="M193" s="49"/>
      <c r="N193" s="49"/>
      <c r="O193" s="1130"/>
      <c r="P193" s="1196"/>
      <c r="Q193" s="1136"/>
      <c r="R193" s="1000"/>
      <c r="S193" s="1000"/>
      <c r="T193" s="1110"/>
      <c r="U193" s="1222"/>
      <c r="V193" s="1014"/>
    </row>
    <row r="194" spans="2:22">
      <c r="B194" s="1206" t="s">
        <v>3013</v>
      </c>
      <c r="C194" s="1206"/>
      <c r="D194" s="49"/>
      <c r="E194" s="50"/>
      <c r="F194" s="50"/>
      <c r="G194" s="48"/>
      <c r="H194" s="49"/>
      <c r="I194" s="598"/>
      <c r="J194" s="601"/>
      <c r="K194" s="600"/>
      <c r="L194" s="600">
        <f>L195+L198+L201+L204+L207+L210+L213</f>
        <v>16380</v>
      </c>
      <c r="M194" s="600"/>
      <c r="N194" s="600">
        <f>N195+N198+N201+N204+N207+N210+N213</f>
        <v>16380</v>
      </c>
      <c r="O194" s="1130"/>
      <c r="P194" s="1196"/>
      <c r="Q194" s="1136"/>
      <c r="R194" s="600">
        <f t="shared" ref="R194:S194" si="76">R195+R198+R201+R204+R207+R210+R213</f>
        <v>10375</v>
      </c>
      <c r="S194" s="600">
        <f t="shared" si="76"/>
        <v>8397</v>
      </c>
      <c r="T194" s="1110"/>
      <c r="U194" s="1222"/>
      <c r="V194" s="1014"/>
    </row>
    <row r="195" spans="2:22">
      <c r="B195" s="1207" t="s">
        <v>3014</v>
      </c>
      <c r="C195" s="1207"/>
      <c r="I195" s="722"/>
      <c r="J195" s="1214"/>
      <c r="K195" s="600"/>
      <c r="L195" s="479">
        <f>L196</f>
        <v>50</v>
      </c>
      <c r="M195" s="479"/>
      <c r="N195" s="479">
        <f t="shared" ref="N195" si="77">N196</f>
        <v>50</v>
      </c>
      <c r="O195" s="622"/>
      <c r="P195" s="1196"/>
      <c r="Q195" s="623"/>
      <c r="R195" s="479">
        <f t="shared" ref="R195:S195" si="78">R196</f>
        <v>50</v>
      </c>
      <c r="S195" s="479">
        <f t="shared" si="78"/>
        <v>0</v>
      </c>
      <c r="T195" s="1110"/>
      <c r="U195" s="1222"/>
      <c r="V195" s="1014"/>
    </row>
    <row r="196" spans="2:22" ht="30">
      <c r="B196" s="610" t="s">
        <v>1513</v>
      </c>
      <c r="C196" s="610"/>
      <c r="D196" s="489" t="s">
        <v>3015</v>
      </c>
      <c r="E196" s="490">
        <v>41260</v>
      </c>
      <c r="F196" s="490" t="s">
        <v>5867</v>
      </c>
      <c r="G196" s="251" t="s">
        <v>3014</v>
      </c>
      <c r="H196" s="251"/>
      <c r="I196" s="1037">
        <v>145917</v>
      </c>
      <c r="J196" s="1210"/>
      <c r="K196" s="49"/>
      <c r="L196" s="624">
        <v>50</v>
      </c>
      <c r="M196" s="624"/>
      <c r="N196" s="611">
        <f>SUM(K196:M196)</f>
        <v>50</v>
      </c>
      <c r="O196" s="623">
        <f>N196+I196</f>
        <v>145967</v>
      </c>
      <c r="P196" s="647" t="s">
        <v>110</v>
      </c>
      <c r="Q196" s="1218" t="s">
        <v>105</v>
      </c>
      <c r="R196" s="1107">
        <v>50</v>
      </c>
      <c r="S196" s="1000"/>
      <c r="T196" s="1110"/>
      <c r="U196" s="1014"/>
      <c r="V196" s="31" t="s">
        <v>3016</v>
      </c>
    </row>
    <row r="197" spans="2:22">
      <c r="B197" s="1150"/>
      <c r="C197" s="1150"/>
      <c r="D197" s="49"/>
      <c r="E197" s="50"/>
      <c r="F197" s="50"/>
      <c r="G197" s="48"/>
      <c r="H197" s="49"/>
      <c r="I197" s="598"/>
      <c r="J197" s="601"/>
      <c r="K197" s="49"/>
      <c r="L197" s="49"/>
      <c r="M197" s="49"/>
      <c r="N197" s="49"/>
      <c r="O197" s="1130"/>
      <c r="P197" s="1196"/>
      <c r="Q197" s="1136"/>
      <c r="R197" s="1000"/>
      <c r="S197" s="1000"/>
      <c r="T197" s="1110"/>
      <c r="U197" s="1014"/>
      <c r="V197" s="1014"/>
    </row>
    <row r="198" spans="2:22">
      <c r="B198" s="1207" t="s">
        <v>3017</v>
      </c>
      <c r="C198" s="1207"/>
      <c r="I198" s="722"/>
      <c r="J198" s="1214"/>
      <c r="K198" s="600"/>
      <c r="L198" s="479">
        <f>L199</f>
        <v>175</v>
      </c>
      <c r="M198" s="479"/>
      <c r="N198" s="479">
        <f t="shared" ref="N198" si="79">N199</f>
        <v>175</v>
      </c>
      <c r="O198" s="622"/>
      <c r="P198" s="1196"/>
      <c r="Q198" s="623"/>
      <c r="R198" s="479">
        <f t="shared" ref="R198:S198" si="80">R199</f>
        <v>170</v>
      </c>
      <c r="S198" s="479">
        <f t="shared" si="80"/>
        <v>170</v>
      </c>
      <c r="T198" s="1110"/>
      <c r="U198" s="1014"/>
      <c r="V198" s="1014"/>
    </row>
    <row r="199" spans="2:22" ht="30">
      <c r="B199" s="610" t="s">
        <v>1513</v>
      </c>
      <c r="C199" s="610"/>
      <c r="D199" s="252" t="s">
        <v>3018</v>
      </c>
      <c r="E199" s="621">
        <v>41260</v>
      </c>
      <c r="F199" s="621" t="s">
        <v>2878</v>
      </c>
      <c r="G199" s="251" t="s">
        <v>3017</v>
      </c>
      <c r="H199" s="251"/>
      <c r="I199" s="1037">
        <v>104603</v>
      </c>
      <c r="J199" s="1210"/>
      <c r="K199" s="49"/>
      <c r="L199" s="253">
        <v>175</v>
      </c>
      <c r="M199" s="611"/>
      <c r="N199" s="611">
        <f>SUM(K199:M199)</f>
        <v>175</v>
      </c>
      <c r="O199" s="623">
        <f>N199+I199</f>
        <v>104778</v>
      </c>
      <c r="P199" s="647" t="s">
        <v>110</v>
      </c>
      <c r="Q199" s="1218" t="s">
        <v>105</v>
      </c>
      <c r="R199" s="224">
        <v>170</v>
      </c>
      <c r="S199" s="224">
        <v>170</v>
      </c>
      <c r="T199" s="108" t="s">
        <v>6418</v>
      </c>
      <c r="U199" s="1014"/>
      <c r="V199" s="12" t="s">
        <v>3019</v>
      </c>
    </row>
    <row r="200" spans="2:22">
      <c r="B200" s="249"/>
      <c r="C200" s="249"/>
      <c r="D200" s="489"/>
      <c r="E200" s="490"/>
      <c r="F200" s="490"/>
      <c r="G200" s="251"/>
      <c r="H200" s="251"/>
      <c r="I200" s="722"/>
      <c r="J200" s="1214"/>
      <c r="K200" s="49"/>
      <c r="L200" s="624"/>
      <c r="M200" s="620"/>
      <c r="N200" s="624"/>
      <c r="O200" s="715"/>
      <c r="P200" s="1196"/>
      <c r="Q200" s="328"/>
      <c r="R200" s="1000"/>
      <c r="S200" s="1000"/>
      <c r="T200" s="1110"/>
      <c r="U200" s="1014"/>
      <c r="V200" s="31"/>
    </row>
    <row r="201" spans="2:22">
      <c r="B201" s="1207" t="s">
        <v>3020</v>
      </c>
      <c r="C201" s="1207"/>
      <c r="I201" s="722"/>
      <c r="J201" s="1214"/>
      <c r="K201" s="600"/>
      <c r="L201" s="479">
        <f>L202</f>
        <v>5</v>
      </c>
      <c r="M201" s="479"/>
      <c r="N201" s="479">
        <f t="shared" ref="N201" si="81">N202</f>
        <v>5</v>
      </c>
      <c r="O201" s="622"/>
      <c r="P201" s="1196"/>
      <c r="Q201" s="623"/>
      <c r="R201" s="479">
        <f t="shared" ref="R201:S201" si="82">R202</f>
        <v>5</v>
      </c>
      <c r="S201" s="479">
        <f t="shared" si="82"/>
        <v>5</v>
      </c>
      <c r="T201" s="1110"/>
      <c r="U201" s="1014"/>
      <c r="V201" s="31"/>
    </row>
    <row r="202" spans="2:22" ht="30">
      <c r="B202" s="610" t="s">
        <v>1513</v>
      </c>
      <c r="C202" s="610"/>
      <c r="D202" s="252" t="s">
        <v>3021</v>
      </c>
      <c r="E202" s="621">
        <v>41260</v>
      </c>
      <c r="F202" s="621" t="s">
        <v>2878</v>
      </c>
      <c r="G202" s="251" t="s">
        <v>3020</v>
      </c>
      <c r="H202" s="251"/>
      <c r="I202" s="722">
        <v>33577</v>
      </c>
      <c r="J202" s="1214"/>
      <c r="K202" s="49"/>
      <c r="L202" s="253">
        <v>5</v>
      </c>
      <c r="M202" s="611"/>
      <c r="N202" s="611">
        <f>SUM(K202:M202)</f>
        <v>5</v>
      </c>
      <c r="O202" s="623">
        <f>N202+I202</f>
        <v>33582</v>
      </c>
      <c r="P202" s="647" t="s">
        <v>110</v>
      </c>
      <c r="Q202" s="1218" t="s">
        <v>105</v>
      </c>
      <c r="R202" s="1107">
        <v>5</v>
      </c>
      <c r="S202" s="1107">
        <v>5</v>
      </c>
      <c r="T202" s="961">
        <v>5</v>
      </c>
      <c r="U202" s="1014"/>
      <c r="V202" s="31" t="s">
        <v>3022</v>
      </c>
    </row>
    <row r="203" spans="2:22">
      <c r="B203" s="249"/>
      <c r="C203" s="249"/>
      <c r="D203" s="252"/>
      <c r="E203" s="621"/>
      <c r="F203" s="621"/>
      <c r="G203" s="251"/>
      <c r="H203" s="251"/>
      <c r="I203" s="722"/>
      <c r="J203" s="1214"/>
      <c r="K203" s="49"/>
      <c r="L203" s="253"/>
      <c r="M203" s="611"/>
      <c r="N203" s="611"/>
      <c r="O203" s="715"/>
      <c r="P203" s="1196"/>
      <c r="Q203" s="328"/>
      <c r="R203" s="1000"/>
      <c r="S203" s="1000"/>
      <c r="T203" s="1110"/>
      <c r="U203" s="1014"/>
      <c r="V203" s="31"/>
    </row>
    <row r="204" spans="2:22">
      <c r="B204" s="1207" t="s">
        <v>3023</v>
      </c>
      <c r="C204" s="1207"/>
      <c r="I204" s="722"/>
      <c r="J204" s="1214"/>
      <c r="K204" s="600"/>
      <c r="L204" s="479">
        <f>L205</f>
        <v>3500</v>
      </c>
      <c r="M204" s="479"/>
      <c r="N204" s="479">
        <f t="shared" ref="N204" si="83">N205</f>
        <v>3500</v>
      </c>
      <c r="O204" s="622"/>
      <c r="P204" s="1196"/>
      <c r="Q204" s="623"/>
      <c r="R204" s="479">
        <f t="shared" ref="R204:S204" si="84">R205</f>
        <v>3500</v>
      </c>
      <c r="S204" s="479">
        <f t="shared" si="84"/>
        <v>1742</v>
      </c>
      <c r="T204" s="1110"/>
      <c r="U204" s="1014"/>
      <c r="V204" s="31"/>
    </row>
    <row r="205" spans="2:22" ht="30">
      <c r="B205" s="610" t="s">
        <v>1513</v>
      </c>
      <c r="C205" s="610"/>
      <c r="D205" s="252" t="s">
        <v>3024</v>
      </c>
      <c r="E205" s="621">
        <v>41225</v>
      </c>
      <c r="F205" s="621" t="s">
        <v>2878</v>
      </c>
      <c r="G205" s="251" t="s">
        <v>3023</v>
      </c>
      <c r="H205" s="251"/>
      <c r="I205" s="722">
        <v>45797</v>
      </c>
      <c r="J205" s="1214"/>
      <c r="K205" s="49"/>
      <c r="L205" s="253">
        <v>3500</v>
      </c>
      <c r="M205" s="611"/>
      <c r="N205" s="611">
        <f>SUM(K205:M205)</f>
        <v>3500</v>
      </c>
      <c r="O205" s="623">
        <f>N205+I205</f>
        <v>49297</v>
      </c>
      <c r="P205" s="647" t="s">
        <v>110</v>
      </c>
      <c r="Q205" s="1218" t="s">
        <v>105</v>
      </c>
      <c r="R205" s="224">
        <v>3500</v>
      </c>
      <c r="S205" s="224">
        <v>1742</v>
      </c>
      <c r="T205" s="647" t="s">
        <v>6419</v>
      </c>
      <c r="U205" s="1014"/>
      <c r="V205" s="31" t="s">
        <v>3025</v>
      </c>
    </row>
    <row r="206" spans="2:22">
      <c r="B206" s="261"/>
      <c r="C206" s="261"/>
      <c r="D206" s="489"/>
      <c r="E206" s="490"/>
      <c r="F206" s="490"/>
      <c r="G206" s="251"/>
      <c r="H206" s="251"/>
      <c r="I206" s="722"/>
      <c r="J206" s="1214"/>
      <c r="K206" s="49"/>
      <c r="L206" s="624"/>
      <c r="M206" s="620"/>
      <c r="N206" s="624"/>
      <c r="O206" s="715"/>
      <c r="P206" s="1196"/>
      <c r="Q206" s="328"/>
      <c r="R206" s="1000"/>
      <c r="S206" s="1000"/>
      <c r="T206" s="1110"/>
      <c r="U206" s="1014"/>
      <c r="V206" s="31"/>
    </row>
    <row r="207" spans="2:22">
      <c r="B207" s="1207" t="s">
        <v>3026</v>
      </c>
      <c r="C207" s="1207"/>
      <c r="I207" s="722"/>
      <c r="J207" s="1214"/>
      <c r="K207" s="600"/>
      <c r="L207" s="479">
        <f>L208</f>
        <v>4650</v>
      </c>
      <c r="M207" s="479"/>
      <c r="N207" s="479">
        <f t="shared" ref="N207" si="85">N208</f>
        <v>4650</v>
      </c>
      <c r="O207" s="622"/>
      <c r="P207" s="1196"/>
      <c r="Q207" s="623"/>
      <c r="R207" s="479">
        <f t="shared" ref="R207:S207" si="86">R208</f>
        <v>4650</v>
      </c>
      <c r="S207" s="479">
        <f t="shared" si="86"/>
        <v>4480</v>
      </c>
      <c r="T207" s="1110"/>
      <c r="U207" s="1014"/>
      <c r="V207" s="31"/>
    </row>
    <row r="208" spans="2:22" ht="30">
      <c r="B208" s="610" t="s">
        <v>1513</v>
      </c>
      <c r="C208" s="610"/>
      <c r="D208" s="252" t="s">
        <v>3027</v>
      </c>
      <c r="E208" s="621">
        <v>41260</v>
      </c>
      <c r="F208" s="621" t="s">
        <v>2878</v>
      </c>
      <c r="G208" s="251" t="s">
        <v>5869</v>
      </c>
      <c r="H208" s="251"/>
      <c r="I208" s="722">
        <v>29061</v>
      </c>
      <c r="J208" s="1214"/>
      <c r="K208" s="49"/>
      <c r="L208" s="253">
        <v>4650</v>
      </c>
      <c r="M208" s="611"/>
      <c r="N208" s="611">
        <f>SUM(K208:M208)</f>
        <v>4650</v>
      </c>
      <c r="O208" s="623">
        <f>N208+I208</f>
        <v>33711</v>
      </c>
      <c r="P208" s="647" t="s">
        <v>110</v>
      </c>
      <c r="Q208" s="1218" t="s">
        <v>105</v>
      </c>
      <c r="R208" s="224">
        <v>4650</v>
      </c>
      <c r="S208" s="224">
        <v>4480</v>
      </c>
      <c r="T208" s="1223" t="s">
        <v>6420</v>
      </c>
      <c r="U208" s="1014"/>
      <c r="V208" s="31" t="s">
        <v>3028</v>
      </c>
    </row>
    <row r="209" spans="2:22">
      <c r="B209" s="249"/>
      <c r="C209" s="249"/>
      <c r="D209" s="489"/>
      <c r="E209" s="490"/>
      <c r="F209" s="490"/>
      <c r="G209" s="251"/>
      <c r="H209" s="251"/>
      <c r="I209" s="722"/>
      <c r="J209" s="1214"/>
      <c r="K209" s="49"/>
      <c r="L209" s="624"/>
      <c r="M209" s="624"/>
      <c r="N209" s="611"/>
      <c r="O209" s="715"/>
      <c r="P209" s="1196"/>
      <c r="Q209" s="328"/>
      <c r="R209" s="1000"/>
      <c r="S209" s="1000"/>
      <c r="T209" s="1110"/>
      <c r="U209" s="1014"/>
      <c r="V209" s="31"/>
    </row>
    <row r="210" spans="2:22">
      <c r="B210" s="1207" t="s">
        <v>3029</v>
      </c>
      <c r="C210" s="1207"/>
      <c r="I210" s="722"/>
      <c r="J210" s="1214"/>
      <c r="K210" s="600"/>
      <c r="L210" s="479">
        <f>L211</f>
        <v>2000</v>
      </c>
      <c r="M210" s="479"/>
      <c r="N210" s="479">
        <f t="shared" ref="N210" si="87">N211</f>
        <v>2000</v>
      </c>
      <c r="O210" s="622"/>
      <c r="P210" s="1196"/>
      <c r="Q210" s="623"/>
      <c r="R210" s="479">
        <f t="shared" ref="R210:S210" si="88">R211</f>
        <v>2000</v>
      </c>
      <c r="S210" s="479">
        <f t="shared" si="88"/>
        <v>2000</v>
      </c>
      <c r="T210" s="1110"/>
      <c r="U210" s="1014"/>
      <c r="V210" s="31"/>
    </row>
    <row r="211" spans="2:22" ht="30">
      <c r="B211" s="610" t="s">
        <v>1513</v>
      </c>
      <c r="C211" s="610"/>
      <c r="D211" s="252" t="s">
        <v>3030</v>
      </c>
      <c r="E211" s="621">
        <v>41225</v>
      </c>
      <c r="F211" s="621" t="s">
        <v>2878</v>
      </c>
      <c r="G211" s="251" t="s">
        <v>3029</v>
      </c>
      <c r="H211" s="251"/>
      <c r="I211" s="1037">
        <v>39091</v>
      </c>
      <c r="J211" s="1210"/>
      <c r="K211" s="49"/>
      <c r="L211" s="253">
        <v>2000</v>
      </c>
      <c r="M211" s="611"/>
      <c r="N211" s="611">
        <f>SUM(K211:M211)</f>
        <v>2000</v>
      </c>
      <c r="O211" s="623">
        <f>N211+I211</f>
        <v>41091</v>
      </c>
      <c r="P211" s="647" t="s">
        <v>110</v>
      </c>
      <c r="Q211" s="1218" t="s">
        <v>105</v>
      </c>
      <c r="R211" s="224">
        <v>2000</v>
      </c>
      <c r="S211" s="224">
        <v>2000</v>
      </c>
      <c r="T211" s="909" t="s">
        <v>3031</v>
      </c>
      <c r="U211" s="1014"/>
      <c r="V211" s="31" t="s">
        <v>3032</v>
      </c>
    </row>
    <row r="212" spans="2:22">
      <c r="B212" s="1150"/>
      <c r="C212" s="1150"/>
      <c r="D212" s="49"/>
      <c r="E212" s="50"/>
      <c r="F212" s="50"/>
      <c r="G212" s="48"/>
      <c r="H212" s="49"/>
      <c r="I212" s="598"/>
      <c r="J212" s="601"/>
      <c r="K212" s="49"/>
      <c r="L212" s="49"/>
      <c r="M212" s="49"/>
      <c r="N212" s="49"/>
      <c r="O212" s="1130"/>
      <c r="P212" s="1196"/>
      <c r="Q212" s="1136"/>
      <c r="R212" s="1000"/>
      <c r="S212" s="1000"/>
      <c r="T212" s="1110"/>
      <c r="U212" s="1014"/>
      <c r="V212" s="1014"/>
    </row>
    <row r="213" spans="2:22">
      <c r="B213" s="1207" t="s">
        <v>1496</v>
      </c>
      <c r="C213" s="1207"/>
      <c r="D213" s="49"/>
      <c r="E213" s="50"/>
      <c r="F213" s="50"/>
      <c r="G213" s="48"/>
      <c r="H213" s="49"/>
      <c r="I213" s="598"/>
      <c r="J213" s="601"/>
      <c r="K213" s="600"/>
      <c r="L213" s="479">
        <f>L214</f>
        <v>6000</v>
      </c>
      <c r="M213" s="479"/>
      <c r="N213" s="479">
        <f t="shared" ref="N213" si="89">N214</f>
        <v>6000</v>
      </c>
      <c r="O213" s="1130"/>
      <c r="P213" s="1196"/>
      <c r="Q213" s="1136"/>
      <c r="R213" s="479">
        <f t="shared" ref="R213:S213" si="90">R214</f>
        <v>0</v>
      </c>
      <c r="S213" s="479">
        <f t="shared" si="90"/>
        <v>0</v>
      </c>
      <c r="T213" s="1110"/>
      <c r="U213" s="1014"/>
      <c r="V213" s="1014"/>
    </row>
    <row r="214" spans="2:22" ht="30">
      <c r="B214" s="610" t="s">
        <v>1513</v>
      </c>
      <c r="C214" s="610"/>
      <c r="D214" s="489" t="s">
        <v>3033</v>
      </c>
      <c r="E214" s="490">
        <v>41442</v>
      </c>
      <c r="F214" s="490" t="s">
        <v>4973</v>
      </c>
      <c r="G214" s="501" t="s">
        <v>1496</v>
      </c>
      <c r="H214" s="251"/>
      <c r="I214" s="598"/>
      <c r="J214" s="601"/>
      <c r="K214" s="49"/>
      <c r="L214" s="624">
        <v>6000</v>
      </c>
      <c r="M214" s="620"/>
      <c r="N214" s="624">
        <f>SUM(K214:M214)</f>
        <v>6000</v>
      </c>
      <c r="O214" s="1130"/>
      <c r="P214" s="647" t="s">
        <v>110</v>
      </c>
      <c r="Q214" s="1218" t="s">
        <v>105</v>
      </c>
      <c r="R214" s="1000"/>
      <c r="S214" s="1000"/>
      <c r="T214" s="1110" t="s">
        <v>3034</v>
      </c>
      <c r="U214" s="1014"/>
      <c r="V214" s="31" t="s">
        <v>3035</v>
      </c>
    </row>
    <row r="215" spans="2:22">
      <c r="B215" s="1150"/>
      <c r="C215" s="1150"/>
      <c r="D215" s="49"/>
      <c r="E215" s="50"/>
      <c r="F215" s="50"/>
      <c r="G215" s="48"/>
      <c r="H215" s="49"/>
      <c r="I215" s="598"/>
      <c r="J215" s="601"/>
      <c r="K215" s="49"/>
      <c r="L215" s="49"/>
      <c r="M215" s="49"/>
      <c r="N215" s="49"/>
      <c r="O215" s="1130"/>
      <c r="P215" s="1196"/>
      <c r="Q215" s="1136"/>
      <c r="R215" s="1000"/>
      <c r="S215" s="1000"/>
      <c r="T215" s="1110"/>
      <c r="U215" s="1014"/>
      <c r="V215" s="1014"/>
    </row>
    <row r="216" spans="2:22">
      <c r="B216" s="1206" t="s">
        <v>3036</v>
      </c>
      <c r="C216" s="1206"/>
      <c r="D216" s="49"/>
      <c r="E216" s="50"/>
      <c r="F216" s="50"/>
      <c r="G216" s="48"/>
      <c r="H216" s="49"/>
      <c r="I216" s="598"/>
      <c r="J216" s="601"/>
      <c r="K216" s="600"/>
      <c r="L216" s="600">
        <f>L217+L220</f>
        <v>15500</v>
      </c>
      <c r="M216" s="600"/>
      <c r="N216" s="600">
        <f>N217+N220</f>
        <v>15500</v>
      </c>
      <c r="O216" s="1130"/>
      <c r="P216" s="1196"/>
      <c r="Q216" s="1136"/>
      <c r="R216" s="600">
        <f t="shared" ref="R216:S216" si="91">R217+R220</f>
        <v>2483</v>
      </c>
      <c r="S216" s="600">
        <f t="shared" si="91"/>
        <v>2483</v>
      </c>
      <c r="T216" s="1110"/>
      <c r="U216" s="1014"/>
      <c r="V216" s="1014"/>
    </row>
    <row r="217" spans="2:22">
      <c r="B217" s="1207" t="s">
        <v>3037</v>
      </c>
      <c r="C217" s="1207"/>
      <c r="I217" s="722"/>
      <c r="J217" s="1214"/>
      <c r="K217" s="600"/>
      <c r="L217" s="479">
        <f>L218</f>
        <v>10000</v>
      </c>
      <c r="M217" s="479"/>
      <c r="N217" s="479">
        <f t="shared" ref="N217" si="92">N218</f>
        <v>10000</v>
      </c>
      <c r="O217" s="1130"/>
      <c r="P217" s="1196"/>
      <c r="Q217" s="1136"/>
      <c r="R217" s="479">
        <f t="shared" ref="R217:S217" si="93">R218</f>
        <v>0</v>
      </c>
      <c r="S217" s="479">
        <f t="shared" si="93"/>
        <v>0</v>
      </c>
      <c r="T217" s="1110"/>
      <c r="U217" s="1014"/>
      <c r="V217" s="1014"/>
    </row>
    <row r="218" spans="2:22" ht="30">
      <c r="B218" s="610" t="s">
        <v>1513</v>
      </c>
      <c r="C218" s="610"/>
      <c r="D218" s="489" t="s">
        <v>3038</v>
      </c>
      <c r="E218" s="490">
        <v>41347</v>
      </c>
      <c r="F218" s="490" t="s">
        <v>4992</v>
      </c>
      <c r="G218" s="250" t="s">
        <v>5731</v>
      </c>
      <c r="H218" s="251"/>
      <c r="I218" s="722"/>
      <c r="J218" s="1214"/>
      <c r="K218" s="49"/>
      <c r="L218" s="624">
        <v>10000</v>
      </c>
      <c r="M218" s="620"/>
      <c r="N218" s="624">
        <f>SUM(K218:M218)</f>
        <v>10000</v>
      </c>
      <c r="O218" s="1130"/>
      <c r="P218" s="647" t="s">
        <v>110</v>
      </c>
      <c r="Q218" s="1218" t="s">
        <v>105</v>
      </c>
      <c r="R218" s="1000"/>
      <c r="S218" s="1000"/>
      <c r="T218" s="1110"/>
      <c r="U218" s="1014"/>
      <c r="V218" s="31" t="s">
        <v>183</v>
      </c>
    </row>
    <row r="219" spans="2:22">
      <c r="B219" s="610"/>
      <c r="C219" s="610"/>
      <c r="D219" s="252"/>
      <c r="E219" s="621"/>
      <c r="F219" s="621"/>
      <c r="G219" s="250"/>
      <c r="H219" s="251"/>
      <c r="I219" s="1037"/>
      <c r="J219" s="1210"/>
      <c r="K219" s="49"/>
      <c r="L219" s="49"/>
      <c r="M219" s="49"/>
      <c r="N219" s="49"/>
      <c r="O219" s="1130"/>
      <c r="P219" s="1196"/>
      <c r="Q219" s="1136"/>
      <c r="R219" s="1000"/>
      <c r="S219" s="1000"/>
      <c r="T219" s="1110"/>
      <c r="U219" s="1014"/>
      <c r="V219" s="1014"/>
    </row>
    <row r="220" spans="2:22">
      <c r="B220" s="1207" t="s">
        <v>3039</v>
      </c>
      <c r="C220" s="1207"/>
      <c r="I220" s="722"/>
      <c r="J220" s="1214"/>
      <c r="K220" s="600"/>
      <c r="L220" s="479">
        <f>SUM(L221:L222)</f>
        <v>5500</v>
      </c>
      <c r="M220" s="479"/>
      <c r="N220" s="479">
        <f>SUM(N221:N222)</f>
        <v>5500</v>
      </c>
      <c r="O220" s="1130"/>
      <c r="P220" s="1196"/>
      <c r="Q220" s="1136"/>
      <c r="R220" s="479">
        <f t="shared" ref="R220:S220" si="94">SUM(R221:R222)</f>
        <v>2483</v>
      </c>
      <c r="S220" s="479">
        <f t="shared" si="94"/>
        <v>2483</v>
      </c>
      <c r="T220" s="1110"/>
      <c r="U220" s="1014"/>
      <c r="V220" s="1014"/>
    </row>
    <row r="221" spans="2:22" ht="45">
      <c r="B221" s="610" t="s">
        <v>1513</v>
      </c>
      <c r="C221" s="610"/>
      <c r="D221" s="252" t="s">
        <v>3040</v>
      </c>
      <c r="E221" s="621">
        <v>41121</v>
      </c>
      <c r="F221" s="621" t="s">
        <v>4963</v>
      </c>
      <c r="G221" s="251" t="s">
        <v>3039</v>
      </c>
      <c r="H221" s="251"/>
      <c r="I221" s="1037">
        <v>187058</v>
      </c>
      <c r="J221" s="1210"/>
      <c r="K221" s="49"/>
      <c r="L221" s="253">
        <v>500</v>
      </c>
      <c r="M221" s="611"/>
      <c r="N221" s="611">
        <f>SUM(K221:M221)</f>
        <v>500</v>
      </c>
      <c r="O221" s="1130"/>
      <c r="P221" s="647" t="s">
        <v>110</v>
      </c>
      <c r="Q221" s="1136" t="s">
        <v>105</v>
      </c>
      <c r="R221" s="1000">
        <v>406</v>
      </c>
      <c r="S221" s="1000">
        <v>406</v>
      </c>
      <c r="T221" s="1110" t="s">
        <v>5707</v>
      </c>
      <c r="U221" s="1014"/>
      <c r="V221" s="12" t="s">
        <v>3041</v>
      </c>
    </row>
    <row r="222" spans="2:22" ht="45">
      <c r="B222" s="627" t="s">
        <v>2683</v>
      </c>
      <c r="C222" s="627"/>
      <c r="D222" s="489" t="s">
        <v>3042</v>
      </c>
      <c r="E222" s="490">
        <v>41354</v>
      </c>
      <c r="F222" s="490" t="s">
        <v>4992</v>
      </c>
      <c r="G222" s="488" t="s">
        <v>3039</v>
      </c>
      <c r="H222" s="488"/>
      <c r="I222" s="1037">
        <v>1764</v>
      </c>
      <c r="J222" s="1210"/>
      <c r="K222" s="49"/>
      <c r="L222" s="624">
        <v>5000</v>
      </c>
      <c r="M222" s="620"/>
      <c r="N222" s="624">
        <f t="shared" ref="N222" si="95">SUM(K222:M222)</f>
        <v>5000</v>
      </c>
      <c r="O222" s="1130"/>
      <c r="P222" s="647" t="s">
        <v>110</v>
      </c>
      <c r="Q222" s="1218" t="s">
        <v>105</v>
      </c>
      <c r="R222" s="1000">
        <v>2077</v>
      </c>
      <c r="S222" s="1000">
        <v>2077</v>
      </c>
      <c r="T222" s="1110" t="s">
        <v>5708</v>
      </c>
      <c r="U222" s="1014"/>
      <c r="V222" s="12" t="s">
        <v>3041</v>
      </c>
    </row>
    <row r="223" spans="2:22">
      <c r="B223" s="1150"/>
      <c r="C223" s="1150"/>
      <c r="D223" s="49"/>
      <c r="E223" s="50"/>
      <c r="F223" s="50"/>
      <c r="G223" s="48"/>
      <c r="H223" s="49"/>
      <c r="I223" s="598"/>
      <c r="J223" s="601"/>
      <c r="K223" s="49"/>
      <c r="L223" s="49"/>
      <c r="M223" s="49"/>
      <c r="N223" s="49"/>
      <c r="O223" s="1130"/>
      <c r="P223" s="1196"/>
      <c r="Q223" s="1136"/>
      <c r="R223" s="1000"/>
      <c r="S223" s="1000"/>
      <c r="T223" s="1110"/>
      <c r="U223" s="1014"/>
      <c r="V223" s="1014"/>
    </row>
    <row r="224" spans="2:22">
      <c r="B224" s="1206" t="s">
        <v>3043</v>
      </c>
      <c r="C224" s="1206"/>
      <c r="D224" s="49"/>
      <c r="E224" s="50"/>
      <c r="F224" s="50"/>
      <c r="G224" s="48"/>
      <c r="H224" s="49"/>
      <c r="I224" s="598"/>
      <c r="J224" s="601"/>
      <c r="K224" s="600"/>
      <c r="L224" s="600">
        <f>L225+L229+L232</f>
        <v>9990</v>
      </c>
      <c r="M224" s="600"/>
      <c r="N224" s="600">
        <f>N225+N229+N232</f>
        <v>9990</v>
      </c>
      <c r="O224" s="1130"/>
      <c r="P224" s="1196"/>
      <c r="Q224" s="1136"/>
      <c r="R224" s="600">
        <f t="shared" ref="R224:S224" si="96">R225+R229+R232</f>
        <v>0</v>
      </c>
      <c r="S224" s="600">
        <f t="shared" si="96"/>
        <v>0</v>
      </c>
      <c r="T224" s="1110"/>
      <c r="U224" s="1014"/>
      <c r="V224" s="1014"/>
    </row>
    <row r="225" spans="2:22">
      <c r="B225" s="1207" t="s">
        <v>1507</v>
      </c>
      <c r="C225" s="1207"/>
      <c r="D225" s="489"/>
      <c r="E225" s="490"/>
      <c r="F225" s="490"/>
      <c r="G225" s="1132"/>
      <c r="H225" s="488"/>
      <c r="I225" s="1037">
        <v>56904</v>
      </c>
      <c r="J225" s="1210"/>
      <c r="K225" s="600"/>
      <c r="L225" s="479">
        <f>SUM(L226:L227)</f>
        <v>2140</v>
      </c>
      <c r="M225" s="479"/>
      <c r="N225" s="479">
        <f>SUM(N226:N227)</f>
        <v>2140</v>
      </c>
      <c r="O225" s="623">
        <f>N225+I225</f>
        <v>59044</v>
      </c>
      <c r="P225" s="1196"/>
      <c r="Q225" s="623"/>
      <c r="R225" s="479">
        <f t="shared" ref="R225:S225" si="97">SUM(R226:R227)</f>
        <v>0</v>
      </c>
      <c r="S225" s="479">
        <f t="shared" si="97"/>
        <v>0</v>
      </c>
      <c r="T225" s="1110"/>
      <c r="U225" s="1014"/>
      <c r="V225" s="1014"/>
    </row>
    <row r="226" spans="2:22" ht="30">
      <c r="B226" s="610" t="s">
        <v>1513</v>
      </c>
      <c r="C226" s="610"/>
      <c r="D226" s="489" t="s">
        <v>3045</v>
      </c>
      <c r="E226" s="490">
        <v>41260</v>
      </c>
      <c r="F226" s="490" t="s">
        <v>5846</v>
      </c>
      <c r="G226" s="250" t="s">
        <v>5662</v>
      </c>
      <c r="H226" s="251"/>
      <c r="I226" s="486"/>
      <c r="J226" s="1211"/>
      <c r="K226" s="49"/>
      <c r="L226" s="624">
        <v>1490</v>
      </c>
      <c r="M226" s="624"/>
      <c r="N226" s="611">
        <f>SUM(K226:M226)</f>
        <v>1490</v>
      </c>
      <c r="O226" s="1130"/>
      <c r="P226" s="647" t="s">
        <v>110</v>
      </c>
      <c r="Q226" s="1136" t="s">
        <v>105</v>
      </c>
      <c r="R226" s="1000"/>
      <c r="S226" s="1000"/>
      <c r="T226" s="1110"/>
      <c r="U226" s="1014"/>
      <c r="V226" s="12" t="s">
        <v>3046</v>
      </c>
    </row>
    <row r="227" spans="2:22" ht="30">
      <c r="B227" s="610" t="s">
        <v>1513</v>
      </c>
      <c r="C227" s="610"/>
      <c r="D227" s="489" t="s">
        <v>3047</v>
      </c>
      <c r="E227" s="490">
        <v>41263</v>
      </c>
      <c r="F227" s="490" t="s">
        <v>5846</v>
      </c>
      <c r="G227" s="250" t="s">
        <v>5662</v>
      </c>
      <c r="H227" s="251"/>
      <c r="I227" s="486"/>
      <c r="J227" s="1211"/>
      <c r="K227" s="49"/>
      <c r="L227" s="624">
        <v>650</v>
      </c>
      <c r="M227" s="624"/>
      <c r="N227" s="611">
        <f>SUM(K227:M227)</f>
        <v>650</v>
      </c>
      <c r="O227" s="1130"/>
      <c r="P227" s="647" t="s">
        <v>110</v>
      </c>
      <c r="Q227" s="1136" t="s">
        <v>105</v>
      </c>
      <c r="R227" s="1000"/>
      <c r="S227" s="1000"/>
      <c r="T227" s="1110"/>
      <c r="U227" s="1014"/>
      <c r="V227" s="12" t="s">
        <v>3046</v>
      </c>
    </row>
    <row r="228" spans="2:22">
      <c r="B228" s="1150"/>
      <c r="C228" s="1150"/>
      <c r="D228" s="49"/>
      <c r="E228" s="50"/>
      <c r="F228" s="50"/>
      <c r="G228" s="48"/>
      <c r="H228" s="49"/>
      <c r="I228" s="598"/>
      <c r="J228" s="601"/>
      <c r="K228" s="49"/>
      <c r="L228" s="49"/>
      <c r="M228" s="49"/>
      <c r="N228" s="49"/>
      <c r="O228" s="1130"/>
      <c r="P228" s="1196"/>
      <c r="Q228" s="1136"/>
      <c r="R228" s="1000"/>
      <c r="S228" s="1000"/>
      <c r="T228" s="1110"/>
      <c r="U228" s="1014"/>
      <c r="V228" s="1014"/>
    </row>
    <row r="229" spans="2:22">
      <c r="B229" s="1207" t="s">
        <v>1516</v>
      </c>
      <c r="C229" s="1207"/>
      <c r="I229" s="722"/>
      <c r="J229" s="1214"/>
      <c r="K229" s="600"/>
      <c r="L229" s="479">
        <f>SUM(L230:L230)</f>
        <v>1000</v>
      </c>
      <c r="M229" s="479"/>
      <c r="N229" s="479">
        <f>SUM(N230:N230)</f>
        <v>1000</v>
      </c>
      <c r="O229" s="622"/>
      <c r="P229" s="1196"/>
      <c r="Q229" s="623"/>
      <c r="R229" s="479">
        <f t="shared" ref="R229:S229" si="98">SUM(R230:R230)</f>
        <v>0</v>
      </c>
      <c r="S229" s="479">
        <f t="shared" si="98"/>
        <v>0</v>
      </c>
      <c r="T229" s="1110"/>
      <c r="U229" s="1014"/>
      <c r="V229" s="1014"/>
    </row>
    <row r="230" spans="2:22" ht="30">
      <c r="B230" s="626" t="s">
        <v>1513</v>
      </c>
      <c r="C230" s="626"/>
      <c r="D230" s="489" t="s">
        <v>3048</v>
      </c>
      <c r="E230" s="490">
        <v>41260</v>
      </c>
      <c r="F230" s="490" t="s">
        <v>5859</v>
      </c>
      <c r="G230" s="251" t="s">
        <v>5662</v>
      </c>
      <c r="H230" s="251"/>
      <c r="I230" s="1037">
        <v>17124</v>
      </c>
      <c r="J230" s="1210"/>
      <c r="K230" s="49"/>
      <c r="L230" s="624">
        <v>1000</v>
      </c>
      <c r="M230" s="624"/>
      <c r="N230" s="611">
        <f>SUM(K230:M230)</f>
        <v>1000</v>
      </c>
      <c r="O230" s="623">
        <f t="shared" ref="O230" si="99">N230+I230</f>
        <v>18124</v>
      </c>
      <c r="P230" s="647" t="s">
        <v>110</v>
      </c>
      <c r="Q230" s="1136" t="s">
        <v>105</v>
      </c>
      <c r="R230" s="1000"/>
      <c r="S230" s="1000"/>
      <c r="T230" s="1110"/>
      <c r="U230" s="1014"/>
      <c r="V230" s="31" t="s">
        <v>3049</v>
      </c>
    </row>
    <row r="231" spans="2:22">
      <c r="B231" s="1150"/>
      <c r="C231" s="1150"/>
      <c r="D231" s="49"/>
      <c r="E231" s="50"/>
      <c r="F231" s="50"/>
      <c r="G231" s="48"/>
      <c r="H231" s="49"/>
      <c r="I231" s="598"/>
      <c r="J231" s="601"/>
      <c r="K231" s="49"/>
      <c r="L231" s="49"/>
      <c r="M231" s="49"/>
      <c r="N231" s="49"/>
      <c r="O231" s="1130"/>
      <c r="P231" s="1196"/>
      <c r="Q231" s="1136"/>
      <c r="R231" s="1000"/>
      <c r="S231" s="1000"/>
      <c r="T231" s="1110"/>
      <c r="U231" s="1014"/>
      <c r="V231" s="1014"/>
    </row>
    <row r="232" spans="2:22">
      <c r="B232" s="1207" t="s">
        <v>1519</v>
      </c>
      <c r="C232" s="1207"/>
      <c r="D232" s="49"/>
      <c r="E232" s="50"/>
      <c r="F232" s="50"/>
      <c r="G232" s="48"/>
      <c r="H232" s="49"/>
      <c r="I232" s="486">
        <v>56869</v>
      </c>
      <c r="J232" s="1211"/>
      <c r="K232" s="600"/>
      <c r="L232" s="628">
        <f>L233+L234</f>
        <v>6850</v>
      </c>
      <c r="M232" s="628"/>
      <c r="N232" s="628">
        <f t="shared" ref="N232" si="100">N233+N234</f>
        <v>6850</v>
      </c>
      <c r="O232" s="622">
        <f>N232+I232</f>
        <v>63719</v>
      </c>
      <c r="P232" s="1196"/>
      <c r="Q232" s="623"/>
      <c r="R232" s="628">
        <f t="shared" ref="R232:S232" si="101">R233+R234</f>
        <v>0</v>
      </c>
      <c r="S232" s="628">
        <f t="shared" si="101"/>
        <v>0</v>
      </c>
      <c r="T232" s="1110"/>
      <c r="U232" s="1014"/>
      <c r="V232" s="1014"/>
    </row>
    <row r="233" spans="2:22" ht="30">
      <c r="B233" s="626" t="s">
        <v>1513</v>
      </c>
      <c r="C233" s="626"/>
      <c r="D233" s="252" t="s">
        <v>3050</v>
      </c>
      <c r="E233" s="621">
        <v>41263</v>
      </c>
      <c r="F233" s="621" t="s">
        <v>5645</v>
      </c>
      <c r="G233" s="488" t="s">
        <v>5870</v>
      </c>
      <c r="H233" s="251"/>
      <c r="I233" s="486"/>
      <c r="J233" s="1211"/>
      <c r="K233" s="49"/>
      <c r="L233" s="253">
        <v>1850</v>
      </c>
      <c r="M233" s="611"/>
      <c r="N233" s="611">
        <f>SUM(K233:M233)</f>
        <v>1850</v>
      </c>
      <c r="O233" s="715"/>
      <c r="P233" s="647" t="s">
        <v>110</v>
      </c>
      <c r="Q233" s="1136" t="s">
        <v>105</v>
      </c>
      <c r="R233" s="1000"/>
      <c r="S233" s="1000"/>
      <c r="T233" s="1110"/>
      <c r="U233" s="1014"/>
      <c r="V233" s="31" t="s">
        <v>3051</v>
      </c>
    </row>
    <row r="234" spans="2:22" ht="30">
      <c r="B234" s="626" t="s">
        <v>1513</v>
      </c>
      <c r="C234" s="626"/>
      <c r="D234" s="489" t="s">
        <v>3052</v>
      </c>
      <c r="E234" s="490">
        <v>41348</v>
      </c>
      <c r="F234" s="621" t="s">
        <v>5645</v>
      </c>
      <c r="G234" s="488" t="s">
        <v>5870</v>
      </c>
      <c r="H234" s="251"/>
      <c r="I234" s="486"/>
      <c r="J234" s="1211"/>
      <c r="K234" s="49"/>
      <c r="L234" s="624">
        <v>5000</v>
      </c>
      <c r="M234" s="620"/>
      <c r="N234" s="624">
        <f>SUM(K234:M234)</f>
        <v>5000</v>
      </c>
      <c r="O234" s="715"/>
      <c r="P234" s="647" t="s">
        <v>110</v>
      </c>
      <c r="Q234" s="1218" t="s">
        <v>105</v>
      </c>
      <c r="R234" s="1000"/>
      <c r="S234" s="1000"/>
      <c r="T234" s="1110"/>
      <c r="U234" s="1014"/>
      <c r="V234" s="31" t="s">
        <v>3051</v>
      </c>
    </row>
    <row r="235" spans="2:22">
      <c r="B235" s="1150"/>
      <c r="C235" s="1150"/>
      <c r="D235" s="49"/>
      <c r="E235" s="50"/>
      <c r="F235" s="50"/>
      <c r="G235" s="48"/>
      <c r="H235" s="49"/>
      <c r="I235" s="598"/>
      <c r="J235" s="601"/>
      <c r="K235" s="49"/>
      <c r="L235" s="49"/>
      <c r="M235" s="49"/>
      <c r="N235" s="49"/>
      <c r="O235" s="1130"/>
      <c r="P235" s="1196"/>
      <c r="Q235" s="1136"/>
      <c r="R235" s="1000"/>
      <c r="S235" s="1000"/>
      <c r="T235" s="1110"/>
      <c r="U235" s="1014"/>
      <c r="V235" s="1014"/>
    </row>
    <row r="236" spans="2:22">
      <c r="B236" s="1206" t="s">
        <v>3053</v>
      </c>
      <c r="C236" s="1206"/>
      <c r="D236" s="49"/>
      <c r="E236" s="50"/>
      <c r="F236" s="50"/>
      <c r="G236" s="48"/>
      <c r="H236" s="49"/>
      <c r="I236" s="598"/>
      <c r="J236" s="601"/>
      <c r="K236" s="600"/>
      <c r="L236" s="600">
        <f>L237</f>
        <v>500</v>
      </c>
      <c r="M236" s="600"/>
      <c r="N236" s="600">
        <f>N237</f>
        <v>500</v>
      </c>
      <c r="O236" s="1130"/>
      <c r="P236" s="1196"/>
      <c r="Q236" s="1136"/>
      <c r="R236" s="600">
        <f>R237</f>
        <v>500</v>
      </c>
      <c r="S236" s="600">
        <f>S237</f>
        <v>500</v>
      </c>
      <c r="T236" s="1110"/>
      <c r="U236" s="1014"/>
      <c r="V236" s="1014"/>
    </row>
    <row r="237" spans="2:22">
      <c r="B237" s="1207" t="s">
        <v>1526</v>
      </c>
      <c r="C237" s="1207"/>
      <c r="D237" s="49"/>
      <c r="E237" s="50"/>
      <c r="F237" s="50"/>
      <c r="G237" s="48"/>
      <c r="H237" s="49"/>
      <c r="I237" s="598"/>
      <c r="J237" s="601"/>
      <c r="K237" s="600"/>
      <c r="L237" s="628">
        <f>L238</f>
        <v>500</v>
      </c>
      <c r="M237" s="628"/>
      <c r="N237" s="628">
        <f t="shared" ref="N237" si="102">N238</f>
        <v>500</v>
      </c>
      <c r="O237" s="1130"/>
      <c r="P237" s="1196"/>
      <c r="Q237" s="1136"/>
      <c r="R237" s="121">
        <f>R238</f>
        <v>500</v>
      </c>
      <c r="S237" s="121">
        <f>S238</f>
        <v>500</v>
      </c>
      <c r="T237" s="1110"/>
      <c r="U237" s="1014"/>
      <c r="V237" s="1014"/>
    </row>
    <row r="238" spans="2:22" ht="30">
      <c r="B238" s="626" t="s">
        <v>1513</v>
      </c>
      <c r="C238" s="626"/>
      <c r="D238" s="489" t="s">
        <v>3054</v>
      </c>
      <c r="E238" s="490">
        <v>41290</v>
      </c>
      <c r="F238" s="490" t="s">
        <v>2869</v>
      </c>
      <c r="G238" s="497" t="s">
        <v>5649</v>
      </c>
      <c r="H238" s="251"/>
      <c r="I238" s="722">
        <v>115510</v>
      </c>
      <c r="J238" s="1214"/>
      <c r="K238" s="49"/>
      <c r="L238" s="624">
        <v>500</v>
      </c>
      <c r="M238" s="620"/>
      <c r="N238" s="624">
        <f t="shared" ref="N238" si="103">SUM(K238:M238)</f>
        <v>500</v>
      </c>
      <c r="O238" s="1212">
        <f>N238+I238</f>
        <v>116010</v>
      </c>
      <c r="P238" s="647" t="s">
        <v>110</v>
      </c>
      <c r="Q238" s="1218" t="s">
        <v>105</v>
      </c>
      <c r="R238" s="1000">
        <v>500</v>
      </c>
      <c r="S238" s="1000">
        <v>500</v>
      </c>
      <c r="T238" s="1110"/>
      <c r="U238" s="1014"/>
      <c r="V238" s="31" t="s">
        <v>3055</v>
      </c>
    </row>
    <row r="239" spans="2:22">
      <c r="B239" s="1150"/>
      <c r="C239" s="1150"/>
      <c r="D239" s="49"/>
      <c r="E239" s="50"/>
      <c r="F239" s="50"/>
      <c r="G239" s="48"/>
      <c r="H239" s="49"/>
      <c r="I239" s="598"/>
      <c r="J239" s="601"/>
      <c r="K239" s="49"/>
      <c r="L239" s="49"/>
      <c r="M239" s="49"/>
      <c r="N239" s="49"/>
      <c r="O239" s="1130"/>
      <c r="P239" s="1196"/>
      <c r="Q239" s="1136"/>
      <c r="R239" s="1000"/>
      <c r="S239" s="1000"/>
      <c r="T239" s="1110"/>
      <c r="U239" s="1014"/>
      <c r="V239" s="1014"/>
    </row>
    <row r="240" spans="2:22">
      <c r="B240" s="1206" t="s">
        <v>3056</v>
      </c>
      <c r="C240" s="1206"/>
      <c r="D240" s="49"/>
      <c r="E240" s="50"/>
      <c r="F240" s="50"/>
      <c r="G240" s="48"/>
      <c r="H240" s="49"/>
      <c r="I240" s="598"/>
      <c r="J240" s="601"/>
      <c r="K240" s="600"/>
      <c r="L240" s="600">
        <f>L241</f>
        <v>5000</v>
      </c>
      <c r="M240" s="600"/>
      <c r="N240" s="600">
        <f>N241</f>
        <v>5000</v>
      </c>
      <c r="O240" s="1130"/>
      <c r="P240" s="1196"/>
      <c r="Q240" s="1136"/>
      <c r="R240" s="600">
        <f t="shared" ref="R240:S241" si="104">R241</f>
        <v>500</v>
      </c>
      <c r="S240" s="600">
        <f t="shared" si="104"/>
        <v>2630</v>
      </c>
      <c r="T240" s="1110"/>
      <c r="U240" s="1014"/>
      <c r="V240" s="1014"/>
    </row>
    <row r="241" spans="2:22">
      <c r="B241" s="1207" t="s">
        <v>1536</v>
      </c>
      <c r="C241" s="1207"/>
      <c r="D241" s="49"/>
      <c r="E241" s="50"/>
      <c r="F241" s="50"/>
      <c r="G241" s="48"/>
      <c r="H241" s="49"/>
      <c r="I241" s="598"/>
      <c r="J241" s="601"/>
      <c r="K241" s="600"/>
      <c r="L241" s="628">
        <f>L242</f>
        <v>5000</v>
      </c>
      <c r="M241" s="628"/>
      <c r="N241" s="628">
        <f t="shared" ref="N241" si="105">N242</f>
        <v>5000</v>
      </c>
      <c r="O241" s="1130"/>
      <c r="P241" s="1196"/>
      <c r="Q241" s="1136"/>
      <c r="R241" s="628">
        <f t="shared" si="104"/>
        <v>500</v>
      </c>
      <c r="S241" s="628">
        <f t="shared" si="104"/>
        <v>2630</v>
      </c>
      <c r="T241" s="1110"/>
      <c r="U241" s="1014"/>
      <c r="V241" s="1014"/>
    </row>
    <row r="242" spans="2:22" ht="30">
      <c r="B242" s="626" t="s">
        <v>1513</v>
      </c>
      <c r="C242" s="626"/>
      <c r="D242" s="489" t="s">
        <v>3057</v>
      </c>
      <c r="E242" s="490">
        <v>41288</v>
      </c>
      <c r="F242" s="490" t="s">
        <v>1537</v>
      </c>
      <c r="G242" s="251" t="s">
        <v>5871</v>
      </c>
      <c r="H242" s="251"/>
      <c r="I242" s="1037">
        <v>31162</v>
      </c>
      <c r="J242" s="1210"/>
      <c r="K242" s="49"/>
      <c r="L242" s="624">
        <v>5000</v>
      </c>
      <c r="M242" s="620"/>
      <c r="N242" s="624">
        <f>SUM(K242:M242)</f>
        <v>5000</v>
      </c>
      <c r="O242" s="1219">
        <f>N242+I242</f>
        <v>36162</v>
      </c>
      <c r="P242" s="647" t="s">
        <v>110</v>
      </c>
      <c r="Q242" s="1218" t="s">
        <v>105</v>
      </c>
      <c r="R242" s="1107">
        <v>500</v>
      </c>
      <c r="S242" s="1107">
        <v>2630</v>
      </c>
      <c r="T242" s="961">
        <f>59+415</f>
        <v>474</v>
      </c>
      <c r="U242" s="1014"/>
      <c r="V242" s="31" t="s">
        <v>3058</v>
      </c>
    </row>
    <row r="243" spans="2:22">
      <c r="B243" s="1150"/>
      <c r="C243" s="1150"/>
      <c r="D243" s="49"/>
      <c r="E243" s="50"/>
      <c r="F243" s="50"/>
      <c r="G243" s="48"/>
      <c r="H243" s="49"/>
      <c r="I243" s="598"/>
      <c r="J243" s="601"/>
      <c r="K243" s="49"/>
      <c r="L243" s="49"/>
      <c r="M243" s="49"/>
      <c r="N243" s="49"/>
      <c r="O243" s="1130"/>
      <c r="P243" s="1196"/>
      <c r="Q243" s="1136"/>
      <c r="R243" s="1000"/>
      <c r="S243" s="1000"/>
      <c r="T243" s="1110"/>
      <c r="U243" s="1014"/>
      <c r="V243" s="1014"/>
    </row>
    <row r="244" spans="2:22">
      <c r="B244" s="1206" t="s">
        <v>1548</v>
      </c>
      <c r="C244" s="1206"/>
      <c r="D244" s="49"/>
      <c r="E244" s="50"/>
      <c r="F244" s="50"/>
      <c r="G244" s="48"/>
      <c r="H244" s="49"/>
      <c r="I244" s="598"/>
      <c r="J244" s="601"/>
      <c r="K244" s="1204"/>
      <c r="L244" s="479">
        <f>L245</f>
        <v>7500</v>
      </c>
      <c r="M244" s="1204"/>
      <c r="N244" s="479">
        <f>N245</f>
        <v>7500</v>
      </c>
      <c r="O244" s="1130"/>
      <c r="P244" s="1196"/>
      <c r="Q244" s="1136"/>
      <c r="R244" s="479">
        <f t="shared" ref="R244:S245" si="106">R245</f>
        <v>7500</v>
      </c>
      <c r="S244" s="479">
        <f t="shared" si="106"/>
        <v>905</v>
      </c>
      <c r="T244" s="1110"/>
      <c r="U244" s="1014"/>
      <c r="V244" s="1014"/>
    </row>
    <row r="245" spans="2:22">
      <c r="B245" s="1207" t="s">
        <v>3059</v>
      </c>
      <c r="C245" s="1207"/>
      <c r="D245" s="49"/>
      <c r="E245" s="50"/>
      <c r="F245" s="50"/>
      <c r="G245" s="48"/>
      <c r="H245" s="49"/>
      <c r="I245" s="598"/>
      <c r="J245" s="601"/>
      <c r="K245" s="600"/>
      <c r="L245" s="628">
        <f>L246</f>
        <v>7500</v>
      </c>
      <c r="M245" s="628"/>
      <c r="N245" s="628">
        <f>N246</f>
        <v>7500</v>
      </c>
      <c r="O245" s="1130"/>
      <c r="P245" s="1196"/>
      <c r="Q245" s="1136"/>
      <c r="R245" s="628">
        <f t="shared" si="106"/>
        <v>7500</v>
      </c>
      <c r="S245" s="628">
        <f t="shared" si="106"/>
        <v>905</v>
      </c>
      <c r="T245" s="1110"/>
      <c r="U245" s="1014"/>
      <c r="V245" s="1014"/>
    </row>
    <row r="246" spans="2:22" ht="30">
      <c r="B246" s="626" t="s">
        <v>1513</v>
      </c>
      <c r="C246" s="626"/>
      <c r="D246" s="252" t="s">
        <v>3060</v>
      </c>
      <c r="E246" s="621">
        <v>41253</v>
      </c>
      <c r="F246" s="621" t="s">
        <v>5872</v>
      </c>
      <c r="G246" s="251" t="s">
        <v>5873</v>
      </c>
      <c r="H246" s="251"/>
      <c r="I246" s="722">
        <v>118210</v>
      </c>
      <c r="J246" s="1214"/>
      <c r="K246" s="49"/>
      <c r="L246" s="253">
        <v>7500</v>
      </c>
      <c r="M246" s="611"/>
      <c r="N246" s="611">
        <f>SUM(K246:M246)</f>
        <v>7500</v>
      </c>
      <c r="O246" s="623">
        <f>N246+I246</f>
        <v>125710</v>
      </c>
      <c r="P246" s="647" t="s">
        <v>110</v>
      </c>
      <c r="Q246" s="1136" t="s">
        <v>105</v>
      </c>
      <c r="R246" s="1107">
        <v>7500</v>
      </c>
      <c r="S246" s="1107">
        <v>905</v>
      </c>
      <c r="T246" s="961" t="s">
        <v>3061</v>
      </c>
      <c r="U246" s="1014"/>
      <c r="V246" s="31" t="s">
        <v>3062</v>
      </c>
    </row>
    <row r="247" spans="2:22">
      <c r="B247" s="1150"/>
      <c r="C247" s="1150"/>
      <c r="D247" s="49"/>
      <c r="E247" s="50"/>
      <c r="F247" s="50"/>
      <c r="G247" s="48"/>
      <c r="H247" s="49"/>
      <c r="I247" s="598"/>
      <c r="J247" s="601"/>
      <c r="K247" s="49"/>
      <c r="L247" s="49"/>
      <c r="M247" s="49"/>
      <c r="N247" s="49"/>
      <c r="O247" s="1130"/>
      <c r="P247" s="1196"/>
      <c r="Q247" s="1136"/>
      <c r="R247" s="1000"/>
      <c r="S247" s="1000"/>
      <c r="T247" s="1110"/>
      <c r="U247" s="1014"/>
      <c r="V247" s="1014"/>
    </row>
    <row r="248" spans="2:22">
      <c r="B248" s="1197" t="s">
        <v>3063</v>
      </c>
      <c r="C248" s="1197"/>
      <c r="D248" s="49"/>
      <c r="E248" s="50"/>
      <c r="F248" s="50"/>
      <c r="G248" s="48"/>
      <c r="H248" s="49"/>
      <c r="I248" s="598"/>
      <c r="J248" s="601"/>
      <c r="K248" s="600"/>
      <c r="L248" s="628"/>
      <c r="M248" s="628">
        <f t="shared" ref="M248:N248" si="107">M249</f>
        <v>7000</v>
      </c>
      <c r="N248" s="628">
        <f t="shared" si="107"/>
        <v>7000</v>
      </c>
      <c r="O248" s="1130"/>
      <c r="P248" s="1196"/>
      <c r="Q248" s="1136"/>
      <c r="R248" s="628">
        <f t="shared" ref="R248:S248" si="108">R249</f>
        <v>7000</v>
      </c>
      <c r="S248" s="628">
        <f t="shared" si="108"/>
        <v>5249.5</v>
      </c>
      <c r="T248" s="1110"/>
      <c r="U248" s="1014"/>
      <c r="V248" s="1014"/>
    </row>
    <row r="249" spans="2:22" ht="75">
      <c r="B249" s="227" t="s">
        <v>3064</v>
      </c>
      <c r="C249" s="227"/>
      <c r="D249" s="1137" t="s">
        <v>3065</v>
      </c>
      <c r="E249" s="13">
        <v>41257</v>
      </c>
      <c r="F249" s="26" t="s">
        <v>5874</v>
      </c>
      <c r="G249" s="12" t="s">
        <v>5875</v>
      </c>
      <c r="H249" s="12"/>
      <c r="I249" s="10">
        <v>61647</v>
      </c>
      <c r="J249" s="629"/>
      <c r="K249" s="49"/>
      <c r="L249" s="49"/>
      <c r="M249" s="10">
        <v>7000</v>
      </c>
      <c r="N249" s="611">
        <f>SUM(K249:M249)</f>
        <v>7000</v>
      </c>
      <c r="O249" s="1136">
        <f>I249+N249</f>
        <v>68647</v>
      </c>
      <c r="P249" s="647" t="s">
        <v>110</v>
      </c>
      <c r="Q249" s="1136" t="s">
        <v>105</v>
      </c>
      <c r="R249" s="1107">
        <v>7000</v>
      </c>
      <c r="S249" s="1107">
        <v>5249.5</v>
      </c>
      <c r="T249" s="961" t="s">
        <v>3066</v>
      </c>
      <c r="U249" s="1014"/>
      <c r="V249" s="14" t="s">
        <v>3067</v>
      </c>
    </row>
    <row r="250" spans="2:22">
      <c r="B250" s="1150"/>
      <c r="C250" s="1150"/>
      <c r="D250" s="49"/>
      <c r="E250" s="50"/>
      <c r="F250" s="50"/>
      <c r="G250" s="48"/>
      <c r="H250" s="49"/>
      <c r="I250" s="598"/>
      <c r="J250" s="601"/>
      <c r="K250" s="49"/>
      <c r="L250" s="49"/>
      <c r="M250" s="49"/>
      <c r="N250" s="49"/>
      <c r="O250" s="1130"/>
      <c r="P250" s="1196"/>
      <c r="Q250" s="1136"/>
      <c r="R250" s="1000"/>
      <c r="S250" s="1000"/>
      <c r="T250" s="1110"/>
      <c r="U250" s="1014"/>
      <c r="V250" s="1014"/>
    </row>
    <row r="251" spans="2:22">
      <c r="B251" s="1197" t="s">
        <v>1162</v>
      </c>
      <c r="C251" s="1197"/>
      <c r="D251" s="49"/>
      <c r="E251" s="50"/>
      <c r="F251" s="50"/>
      <c r="G251" s="48"/>
      <c r="H251" s="49"/>
      <c r="I251" s="598"/>
      <c r="J251" s="601"/>
      <c r="K251" s="600"/>
      <c r="L251" s="628">
        <f t="shared" ref="L251" si="109">L252</f>
        <v>2500</v>
      </c>
      <c r="M251" s="628"/>
      <c r="N251" s="628">
        <f t="shared" ref="N251" si="110">N252</f>
        <v>2500</v>
      </c>
      <c r="O251" s="1130"/>
      <c r="P251" s="1196"/>
      <c r="Q251" s="1136"/>
      <c r="R251" s="628">
        <f t="shared" ref="R251:S251" si="111">R252</f>
        <v>0</v>
      </c>
      <c r="S251" s="628">
        <f t="shared" si="111"/>
        <v>0</v>
      </c>
      <c r="T251" s="1110"/>
      <c r="U251" s="1014"/>
      <c r="V251" s="1014"/>
    </row>
    <row r="252" spans="2:22" ht="60">
      <c r="B252" s="227" t="s">
        <v>3068</v>
      </c>
      <c r="C252" s="227"/>
      <c r="D252" s="182" t="s">
        <v>3069</v>
      </c>
      <c r="E252" s="419">
        <v>41204</v>
      </c>
      <c r="F252" s="419" t="s">
        <v>4967</v>
      </c>
      <c r="G252" s="1103" t="s">
        <v>5876</v>
      </c>
      <c r="H252" s="385"/>
      <c r="I252" s="105">
        <v>3204</v>
      </c>
      <c r="J252" s="630"/>
      <c r="K252" s="49"/>
      <c r="L252" s="186">
        <v>2500</v>
      </c>
      <c r="M252" s="203"/>
      <c r="N252" s="22">
        <f>SUM(L252:M252)</f>
        <v>2500</v>
      </c>
      <c r="O252" s="10">
        <f>N252+I252</f>
        <v>5704</v>
      </c>
      <c r="P252" s="647" t="s">
        <v>110</v>
      </c>
      <c r="Q252" s="1136" t="s">
        <v>105</v>
      </c>
      <c r="R252" s="1000"/>
      <c r="S252" s="1000"/>
      <c r="T252" s="1110"/>
      <c r="U252" s="1014"/>
      <c r="V252" s="14" t="s">
        <v>3070</v>
      </c>
    </row>
    <row r="253" spans="2:22">
      <c r="B253" s="1150"/>
      <c r="C253" s="1150"/>
      <c r="D253" s="49"/>
      <c r="E253" s="50"/>
      <c r="F253" s="50"/>
      <c r="G253" s="48"/>
      <c r="H253" s="49"/>
      <c r="I253" s="598"/>
      <c r="J253" s="601"/>
      <c r="K253" s="49"/>
      <c r="L253" s="49"/>
      <c r="M253" s="49"/>
      <c r="N253" s="49"/>
      <c r="O253" s="1130"/>
      <c r="P253" s="1196"/>
      <c r="Q253" s="1136"/>
      <c r="R253" s="1000"/>
      <c r="S253" s="1000"/>
      <c r="T253" s="1110"/>
      <c r="U253" s="1014"/>
      <c r="V253" s="1014"/>
    </row>
    <row r="254" spans="2:22">
      <c r="B254" s="1197" t="s">
        <v>139</v>
      </c>
      <c r="C254" s="1197"/>
      <c r="D254" s="49"/>
      <c r="E254" s="50"/>
      <c r="F254" s="50"/>
      <c r="G254" s="48"/>
      <c r="H254" s="49"/>
      <c r="I254" s="598"/>
      <c r="J254" s="601"/>
      <c r="K254" s="600"/>
      <c r="L254" s="600">
        <f>L255+L256+L258+L266+L271+L275+L279+L283+L287+L291+L301+L303+L307+L309+L313+L317+L322+L339+L340+L341+L343+L349+L360+L365+L375+L382+L384+L390+L392+L397+L401+L408+L414+L337</f>
        <v>185528.1</v>
      </c>
      <c r="M254" s="600"/>
      <c r="N254" s="600">
        <f>N255+N256+N258+N266+N271+N275+N279+N283+N287+N291+N301+N303+N307+N309+N313+N317+N322+N339+N340+N341+N343+N349+N360+N365+N375+N382+N384+N390+N392+N397+N401+N408+N414+N337</f>
        <v>185528.1</v>
      </c>
      <c r="O254" s="1130"/>
      <c r="P254" s="1196"/>
      <c r="Q254" s="1136"/>
      <c r="R254" s="600">
        <f t="shared" ref="R254:S254" si="112">R255+R256+R258+R266+R271+R275+R279+R283+R287+R291+R301+R303+R307+R309+R313+R317+R322+R339+R340+R341+R343+R349+R360+R365+R375+R382+R384+R390+R392+R397+R401+R408+R414+R337</f>
        <v>21108</v>
      </c>
      <c r="S254" s="600">
        <f t="shared" si="112"/>
        <v>21108</v>
      </c>
      <c r="T254" s="1110"/>
      <c r="U254" s="1014"/>
      <c r="V254" s="1014"/>
    </row>
    <row r="255" spans="2:22" ht="30">
      <c r="B255" s="263" t="s">
        <v>3071</v>
      </c>
      <c r="C255" s="263"/>
      <c r="D255" s="182" t="s">
        <v>3072</v>
      </c>
      <c r="E255" s="419">
        <v>41127</v>
      </c>
      <c r="F255" s="419" t="s">
        <v>5877</v>
      </c>
      <c r="G255" s="1103" t="s">
        <v>5878</v>
      </c>
      <c r="H255" s="1103"/>
      <c r="I255" s="691">
        <v>113338</v>
      </c>
      <c r="J255" s="1224"/>
      <c r="K255" s="49"/>
      <c r="L255" s="184">
        <v>1000</v>
      </c>
      <c r="M255" s="201"/>
      <c r="N255" s="201">
        <f t="shared" ref="N255:N263" si="113">SUM(K255:M255)</f>
        <v>1000</v>
      </c>
      <c r="O255" s="1179">
        <f t="shared" ref="O255:O256" si="114">N255+I255</f>
        <v>114338</v>
      </c>
      <c r="P255" s="647" t="s">
        <v>110</v>
      </c>
      <c r="Q255" s="1136" t="s">
        <v>105</v>
      </c>
      <c r="R255" s="1000"/>
      <c r="S255" s="1000"/>
      <c r="T255" s="1110"/>
      <c r="U255" s="1014"/>
      <c r="V255" s="31" t="s">
        <v>206</v>
      </c>
    </row>
    <row r="256" spans="2:22" ht="30">
      <c r="B256" s="263" t="s">
        <v>3073</v>
      </c>
      <c r="C256" s="263"/>
      <c r="D256" s="77" t="s">
        <v>3074</v>
      </c>
      <c r="E256" s="78">
        <v>41347</v>
      </c>
      <c r="F256" s="78" t="s">
        <v>5879</v>
      </c>
      <c r="G256" s="1103" t="s">
        <v>5880</v>
      </c>
      <c r="H256" s="1103"/>
      <c r="I256" s="691">
        <v>44255</v>
      </c>
      <c r="J256" s="1224"/>
      <c r="K256" s="49"/>
      <c r="L256" s="184">
        <v>2000</v>
      </c>
      <c r="M256" s="184"/>
      <c r="N256" s="246">
        <f>SUM(K256:M256)</f>
        <v>2000</v>
      </c>
      <c r="O256" s="1179">
        <f t="shared" si="114"/>
        <v>46255</v>
      </c>
      <c r="P256" s="1196"/>
      <c r="Q256" s="1179"/>
      <c r="R256" s="1000"/>
      <c r="S256" s="1000"/>
      <c r="T256" s="1110"/>
      <c r="U256" s="1014"/>
      <c r="V256" s="31" t="s">
        <v>3075</v>
      </c>
    </row>
    <row r="257" spans="2:22">
      <c r="B257" s="263"/>
      <c r="C257" s="263"/>
      <c r="D257" s="77"/>
      <c r="E257" s="78"/>
      <c r="F257" s="78"/>
      <c r="G257" s="1103"/>
      <c r="H257" s="1103"/>
      <c r="I257" s="691"/>
      <c r="J257" s="1224"/>
      <c r="K257" s="49"/>
      <c r="L257" s="184"/>
      <c r="M257" s="184"/>
      <c r="N257" s="246"/>
      <c r="O257" s="31"/>
      <c r="P257" s="1196"/>
      <c r="R257" s="1000"/>
      <c r="S257" s="1000"/>
      <c r="T257" s="1110"/>
      <c r="U257" s="1014"/>
      <c r="V257" s="31"/>
    </row>
    <row r="258" spans="2:22">
      <c r="B258" s="263"/>
      <c r="C258" s="263"/>
      <c r="D258" s="77"/>
      <c r="E258" s="78"/>
      <c r="F258" s="78"/>
      <c r="G258" s="420"/>
      <c r="H258" s="1103"/>
      <c r="I258" s="691">
        <v>239726</v>
      </c>
      <c r="J258" s="1224"/>
      <c r="K258" s="600"/>
      <c r="L258" s="294">
        <f>SUM(L259:L265)</f>
        <v>15450</v>
      </c>
      <c r="M258" s="294"/>
      <c r="N258" s="294">
        <f t="shared" ref="N258" si="115">SUM(N259:N265)</f>
        <v>15450</v>
      </c>
      <c r="O258" s="1179">
        <f>N258+I258</f>
        <v>255176</v>
      </c>
      <c r="P258" s="1196"/>
      <c r="Q258" s="1179"/>
      <c r="R258" s="294">
        <f t="shared" ref="R258:S258" si="116">SUM(R259:R265)</f>
        <v>0</v>
      </c>
      <c r="S258" s="294">
        <f t="shared" si="116"/>
        <v>0</v>
      </c>
      <c r="T258" s="1110"/>
      <c r="U258" s="1014"/>
      <c r="V258" s="31"/>
    </row>
    <row r="259" spans="2:22" ht="30">
      <c r="B259" s="263" t="s">
        <v>201</v>
      </c>
      <c r="C259" s="263"/>
      <c r="D259" s="182" t="s">
        <v>3077</v>
      </c>
      <c r="E259" s="419">
        <v>41121</v>
      </c>
      <c r="F259" s="419" t="s">
        <v>3076</v>
      </c>
      <c r="G259" s="72" t="s">
        <v>5881</v>
      </c>
      <c r="H259" s="1103"/>
      <c r="I259" s="631"/>
      <c r="J259" s="632"/>
      <c r="K259" s="49"/>
      <c r="L259" s="186">
        <v>3500</v>
      </c>
      <c r="M259" s="203"/>
      <c r="N259" s="203">
        <f t="shared" si="113"/>
        <v>3500</v>
      </c>
      <c r="O259" s="31"/>
      <c r="P259" s="647" t="s">
        <v>110</v>
      </c>
      <c r="Q259" s="1136" t="s">
        <v>105</v>
      </c>
      <c r="R259" s="1000"/>
      <c r="S259" s="1000"/>
      <c r="T259" s="1110"/>
      <c r="U259" s="1014"/>
      <c r="V259" s="31" t="s">
        <v>203</v>
      </c>
    </row>
    <row r="260" spans="2:22" ht="30">
      <c r="B260" s="263" t="s">
        <v>201</v>
      </c>
      <c r="C260" s="263"/>
      <c r="D260" s="182" t="s">
        <v>3078</v>
      </c>
      <c r="E260" s="419">
        <v>41250</v>
      </c>
      <c r="F260" s="419" t="s">
        <v>3076</v>
      </c>
      <c r="G260" s="72" t="s">
        <v>5881</v>
      </c>
      <c r="H260" s="1103"/>
      <c r="I260" s="631"/>
      <c r="J260" s="632"/>
      <c r="K260" s="49"/>
      <c r="L260" s="186">
        <v>5000</v>
      </c>
      <c r="M260" s="203"/>
      <c r="N260" s="203">
        <f t="shared" si="113"/>
        <v>5000</v>
      </c>
      <c r="O260" s="31"/>
      <c r="P260" s="647" t="s">
        <v>110</v>
      </c>
      <c r="Q260" s="1136" t="s">
        <v>105</v>
      </c>
      <c r="R260" s="1000"/>
      <c r="S260" s="1000"/>
      <c r="T260" s="1110"/>
      <c r="U260" s="1014"/>
      <c r="V260" s="31" t="s">
        <v>203</v>
      </c>
    </row>
    <row r="261" spans="2:22" ht="30">
      <c r="B261" s="263" t="s">
        <v>201</v>
      </c>
      <c r="C261" s="263"/>
      <c r="D261" s="182" t="s">
        <v>3079</v>
      </c>
      <c r="E261" s="419">
        <v>41250</v>
      </c>
      <c r="F261" s="419" t="s">
        <v>3076</v>
      </c>
      <c r="G261" s="72" t="s">
        <v>5881</v>
      </c>
      <c r="H261" s="1103"/>
      <c r="I261" s="631"/>
      <c r="J261" s="632"/>
      <c r="K261" s="49"/>
      <c r="L261" s="186">
        <v>500</v>
      </c>
      <c r="M261" s="203"/>
      <c r="N261" s="203">
        <f t="shared" si="113"/>
        <v>500</v>
      </c>
      <c r="O261" s="31"/>
      <c r="P261" s="647" t="s">
        <v>110</v>
      </c>
      <c r="Q261" s="1136" t="s">
        <v>105</v>
      </c>
      <c r="R261" s="1000"/>
      <c r="S261" s="1000"/>
      <c r="T261" s="1110"/>
      <c r="U261" s="1014"/>
      <c r="V261" s="31" t="s">
        <v>203</v>
      </c>
    </row>
    <row r="262" spans="2:22" ht="30">
      <c r="B262" s="263" t="s">
        <v>201</v>
      </c>
      <c r="C262" s="263"/>
      <c r="D262" s="182" t="s">
        <v>3080</v>
      </c>
      <c r="E262" s="419">
        <v>41260</v>
      </c>
      <c r="F262" s="419" t="s">
        <v>3076</v>
      </c>
      <c r="G262" s="72" t="s">
        <v>5881</v>
      </c>
      <c r="H262" s="1103"/>
      <c r="I262" s="631"/>
      <c r="J262" s="632"/>
      <c r="K262" s="49"/>
      <c r="L262" s="186">
        <v>1950</v>
      </c>
      <c r="M262" s="203"/>
      <c r="N262" s="203">
        <f t="shared" si="113"/>
        <v>1950</v>
      </c>
      <c r="O262" s="31"/>
      <c r="P262" s="647" t="s">
        <v>110</v>
      </c>
      <c r="Q262" s="1136" t="s">
        <v>105</v>
      </c>
      <c r="R262" s="1000"/>
      <c r="S262" s="1000"/>
      <c r="T262" s="1110"/>
      <c r="U262" s="1014"/>
      <c r="V262" s="31" t="s">
        <v>203</v>
      </c>
    </row>
    <row r="263" spans="2:22" ht="30">
      <c r="B263" s="263" t="s">
        <v>201</v>
      </c>
      <c r="C263" s="263"/>
      <c r="D263" s="182" t="s">
        <v>3081</v>
      </c>
      <c r="E263" s="419">
        <v>41260</v>
      </c>
      <c r="F263" s="419" t="s">
        <v>3076</v>
      </c>
      <c r="G263" s="72" t="s">
        <v>5881</v>
      </c>
      <c r="H263" s="1103"/>
      <c r="I263" s="631"/>
      <c r="J263" s="632"/>
      <c r="K263" s="49"/>
      <c r="L263" s="186">
        <v>4000</v>
      </c>
      <c r="M263" s="203"/>
      <c r="N263" s="203">
        <f t="shared" si="113"/>
        <v>4000</v>
      </c>
      <c r="O263" s="31"/>
      <c r="P263" s="647" t="s">
        <v>110</v>
      </c>
      <c r="Q263" s="1136" t="s">
        <v>105</v>
      </c>
      <c r="R263" s="1000"/>
      <c r="S263" s="1000"/>
      <c r="T263" s="1110"/>
      <c r="U263" s="1014"/>
      <c r="V263" s="31" t="s">
        <v>203</v>
      </c>
    </row>
    <row r="264" spans="2:22" ht="45">
      <c r="B264" s="263" t="s">
        <v>201</v>
      </c>
      <c r="C264" s="263"/>
      <c r="D264" s="77" t="s">
        <v>3082</v>
      </c>
      <c r="E264" s="78">
        <v>41289</v>
      </c>
      <c r="F264" s="78" t="s">
        <v>3076</v>
      </c>
      <c r="G264" s="72" t="s">
        <v>5882</v>
      </c>
      <c r="H264" s="1103"/>
      <c r="I264" s="631"/>
      <c r="J264" s="632"/>
      <c r="K264" s="49"/>
      <c r="L264" s="186">
        <v>500</v>
      </c>
      <c r="M264" s="186"/>
      <c r="N264" s="264">
        <f>SUM(K264:M264)</f>
        <v>500</v>
      </c>
      <c r="O264" s="31"/>
      <c r="P264" s="647" t="s">
        <v>110</v>
      </c>
      <c r="Q264" s="1136" t="s">
        <v>105</v>
      </c>
      <c r="R264" s="1000"/>
      <c r="S264" s="1000"/>
      <c r="T264" s="1110"/>
      <c r="U264" s="1014"/>
      <c r="V264" s="31" t="s">
        <v>203</v>
      </c>
    </row>
    <row r="265" spans="2:22">
      <c r="B265" s="263"/>
      <c r="C265" s="263"/>
      <c r="D265" s="77"/>
      <c r="E265" s="78"/>
      <c r="F265" s="78"/>
      <c r="G265" s="265"/>
      <c r="H265" s="1103"/>
      <c r="I265" s="631"/>
      <c r="J265" s="632"/>
      <c r="K265" s="49"/>
      <c r="L265" s="49"/>
      <c r="M265" s="49"/>
      <c r="N265" s="49"/>
      <c r="O265" s="1130"/>
      <c r="P265" s="1196"/>
      <c r="Q265" s="1136"/>
      <c r="R265" s="1000"/>
      <c r="S265" s="1000"/>
      <c r="T265" s="1110"/>
      <c r="U265" s="1014"/>
      <c r="V265" s="1014"/>
    </row>
    <row r="266" spans="2:22">
      <c r="B266" s="263"/>
      <c r="C266" s="263"/>
      <c r="D266" s="182"/>
      <c r="E266" s="419"/>
      <c r="F266" s="419"/>
      <c r="G266" s="420"/>
      <c r="H266" s="1103"/>
      <c r="I266" s="631">
        <v>147452</v>
      </c>
      <c r="J266" s="632"/>
      <c r="K266" s="600"/>
      <c r="L266" s="247">
        <f>L267+L268+L269</f>
        <v>3000</v>
      </c>
      <c r="M266" s="247"/>
      <c r="N266" s="247">
        <f t="shared" ref="N266" si="117">N267+N268+N269</f>
        <v>3000</v>
      </c>
      <c r="O266" s="1179">
        <f>N266+I266</f>
        <v>150452</v>
      </c>
      <c r="P266" s="1196"/>
      <c r="Q266" s="1179"/>
      <c r="R266" s="247">
        <f t="shared" ref="R266:S266" si="118">R267+R268+R269</f>
        <v>0</v>
      </c>
      <c r="S266" s="247">
        <f t="shared" si="118"/>
        <v>0</v>
      </c>
      <c r="T266" s="1110"/>
      <c r="U266" s="1014"/>
      <c r="V266" s="1014"/>
    </row>
    <row r="267" spans="2:22" ht="45">
      <c r="B267" s="263" t="s">
        <v>3083</v>
      </c>
      <c r="C267" s="263"/>
      <c r="D267" s="182" t="s">
        <v>3084</v>
      </c>
      <c r="E267" s="419">
        <v>41180</v>
      </c>
      <c r="F267" s="419" t="s">
        <v>5236</v>
      </c>
      <c r="G267" s="72" t="s">
        <v>5235</v>
      </c>
      <c r="H267" s="1103"/>
      <c r="I267" s="631"/>
      <c r="J267" s="632"/>
      <c r="K267" s="49"/>
      <c r="L267" s="186">
        <v>500</v>
      </c>
      <c r="M267" s="203"/>
      <c r="N267" s="203">
        <f t="shared" ref="N267:N299" si="119">SUM(K267:M267)</f>
        <v>500</v>
      </c>
      <c r="O267" s="31"/>
      <c r="P267" s="647" t="s">
        <v>110</v>
      </c>
      <c r="Q267" s="1136" t="s">
        <v>105</v>
      </c>
      <c r="R267" s="1000"/>
      <c r="S267" s="1000"/>
      <c r="T267" s="1110"/>
      <c r="U267" s="1014"/>
      <c r="V267" s="31" t="s">
        <v>3085</v>
      </c>
    </row>
    <row r="268" spans="2:22" ht="45">
      <c r="B268" s="263" t="s">
        <v>3083</v>
      </c>
      <c r="C268" s="263"/>
      <c r="D268" s="77" t="s">
        <v>3086</v>
      </c>
      <c r="E268" s="78">
        <v>41288</v>
      </c>
      <c r="F268" s="419" t="s">
        <v>5236</v>
      </c>
      <c r="G268" s="72" t="s">
        <v>5235</v>
      </c>
      <c r="H268" s="1103"/>
      <c r="I268" s="631"/>
      <c r="J268" s="632"/>
      <c r="K268" s="49"/>
      <c r="L268" s="186">
        <v>2000</v>
      </c>
      <c r="M268" s="186"/>
      <c r="N268" s="264">
        <f>SUM(K268:M268)</f>
        <v>2000</v>
      </c>
      <c r="O268" s="31"/>
      <c r="P268" s="647" t="s">
        <v>110</v>
      </c>
      <c r="Q268" s="1136" t="s">
        <v>105</v>
      </c>
      <c r="R268" s="1000"/>
      <c r="S268" s="1000"/>
      <c r="T268" s="1110"/>
      <c r="U268" s="1014"/>
      <c r="V268" s="31" t="s">
        <v>3085</v>
      </c>
    </row>
    <row r="269" spans="2:22" ht="45">
      <c r="B269" s="263" t="s">
        <v>3083</v>
      </c>
      <c r="C269" s="263"/>
      <c r="D269" s="77" t="s">
        <v>3087</v>
      </c>
      <c r="E269" s="78">
        <v>41289</v>
      </c>
      <c r="F269" s="419" t="s">
        <v>5236</v>
      </c>
      <c r="G269" s="72" t="s">
        <v>5235</v>
      </c>
      <c r="H269" s="1103"/>
      <c r="I269" s="631"/>
      <c r="J269" s="632"/>
      <c r="K269" s="49"/>
      <c r="L269" s="186">
        <v>500</v>
      </c>
      <c r="M269" s="186"/>
      <c r="N269" s="264">
        <f>SUM(K269:M269)</f>
        <v>500</v>
      </c>
      <c r="O269" s="31"/>
      <c r="P269" s="647" t="s">
        <v>110</v>
      </c>
      <c r="Q269" s="1136" t="s">
        <v>105</v>
      </c>
      <c r="R269" s="1000"/>
      <c r="S269" s="1000"/>
      <c r="T269" s="1110"/>
      <c r="U269" s="1014"/>
      <c r="V269" s="31" t="s">
        <v>3085</v>
      </c>
    </row>
    <row r="270" spans="2:22">
      <c r="B270" s="263"/>
      <c r="C270" s="263"/>
      <c r="D270" s="77"/>
      <c r="E270" s="78"/>
      <c r="F270" s="78"/>
      <c r="G270" s="1103"/>
      <c r="H270" s="1103"/>
      <c r="I270" s="1177"/>
      <c r="J270" s="1225"/>
      <c r="K270" s="49"/>
      <c r="L270" s="186"/>
      <c r="M270" s="186"/>
      <c r="N270" s="264"/>
      <c r="O270" s="31"/>
      <c r="P270" s="1196"/>
      <c r="R270" s="1000"/>
      <c r="S270" s="1000"/>
      <c r="T270" s="1110"/>
      <c r="U270" s="1014"/>
      <c r="V270" s="31"/>
    </row>
    <row r="271" spans="2:22">
      <c r="B271" s="263"/>
      <c r="C271" s="263"/>
      <c r="D271" s="77"/>
      <c r="E271" s="78"/>
      <c r="F271" s="78"/>
      <c r="G271" s="420"/>
      <c r="H271" s="1103"/>
      <c r="I271" s="1177">
        <v>139782</v>
      </c>
      <c r="J271" s="1225"/>
      <c r="K271" s="1199"/>
      <c r="L271" s="294">
        <f>L272+L273</f>
        <v>6300</v>
      </c>
      <c r="M271" s="294"/>
      <c r="N271" s="294">
        <f t="shared" ref="N271" si="120">N272+N273</f>
        <v>6300</v>
      </c>
      <c r="O271" s="1179">
        <f>N271+I271</f>
        <v>146082</v>
      </c>
      <c r="Q271" s="1179"/>
      <c r="R271" s="294">
        <f>R272+R273</f>
        <v>6300</v>
      </c>
      <c r="S271" s="294">
        <f>S272+S273</f>
        <v>6300</v>
      </c>
      <c r="V271" s="31"/>
    </row>
    <row r="272" spans="2:22" ht="45">
      <c r="B272" s="263" t="s">
        <v>3089</v>
      </c>
      <c r="C272" s="263"/>
      <c r="D272" s="182" t="s">
        <v>3090</v>
      </c>
      <c r="E272" s="419">
        <v>41200</v>
      </c>
      <c r="F272" s="419" t="s">
        <v>5883</v>
      </c>
      <c r="G272" s="265" t="s">
        <v>5884</v>
      </c>
      <c r="H272" s="1103"/>
      <c r="I272" s="631"/>
      <c r="J272" s="632"/>
      <c r="L272" s="186">
        <v>1300</v>
      </c>
      <c r="M272" s="203"/>
      <c r="N272" s="203">
        <f t="shared" si="119"/>
        <v>1300</v>
      </c>
      <c r="O272" s="31"/>
      <c r="P272" s="647" t="s">
        <v>110</v>
      </c>
      <c r="Q272" s="1136" t="s">
        <v>105</v>
      </c>
      <c r="R272" s="356">
        <v>1300</v>
      </c>
      <c r="S272" s="356">
        <v>1300</v>
      </c>
      <c r="V272" s="31" t="s">
        <v>203</v>
      </c>
    </row>
    <row r="273" spans="2:22" ht="45">
      <c r="B273" s="263" t="s">
        <v>3089</v>
      </c>
      <c r="C273" s="263"/>
      <c r="D273" s="77" t="s">
        <v>3091</v>
      </c>
      <c r="E273" s="78">
        <v>41332</v>
      </c>
      <c r="F273" s="419" t="s">
        <v>5883</v>
      </c>
      <c r="G273" s="265" t="s">
        <v>5884</v>
      </c>
      <c r="H273" s="1103"/>
      <c r="I273" s="631"/>
      <c r="J273" s="632"/>
      <c r="L273" s="186">
        <v>5000</v>
      </c>
      <c r="M273" s="186"/>
      <c r="N273" s="264">
        <f>SUM(K273:M273)</f>
        <v>5000</v>
      </c>
      <c r="O273" s="31"/>
      <c r="P273" s="647" t="s">
        <v>110</v>
      </c>
      <c r="Q273" s="1136" t="s">
        <v>105</v>
      </c>
      <c r="R273" s="356">
        <v>5000</v>
      </c>
      <c r="S273" s="356">
        <v>5000</v>
      </c>
      <c r="V273" s="31" t="s">
        <v>203</v>
      </c>
    </row>
    <row r="274" spans="2:22">
      <c r="B274" s="263"/>
      <c r="C274" s="263"/>
      <c r="D274" s="77"/>
      <c r="E274" s="78"/>
      <c r="F274" s="78"/>
      <c r="G274" s="1103"/>
      <c r="H274" s="1103"/>
      <c r="I274" s="1177"/>
      <c r="J274" s="1225"/>
      <c r="L274" s="186"/>
      <c r="M274" s="186"/>
      <c r="N274" s="264"/>
      <c r="O274" s="31"/>
      <c r="V274" s="31"/>
    </row>
    <row r="275" spans="2:22">
      <c r="B275" s="263"/>
      <c r="C275" s="263"/>
      <c r="D275" s="77"/>
      <c r="E275" s="78"/>
      <c r="F275" s="78"/>
      <c r="G275" s="420"/>
      <c r="H275" s="1103"/>
      <c r="I275" s="1177">
        <v>31254</v>
      </c>
      <c r="J275" s="1225"/>
      <c r="K275" s="1199"/>
      <c r="L275" s="294">
        <f>L276+L277</f>
        <v>1000</v>
      </c>
      <c r="M275" s="294"/>
      <c r="N275" s="294">
        <f t="shared" ref="N275" si="121">N276+N277</f>
        <v>1000</v>
      </c>
      <c r="O275" s="1179">
        <f>N275+I275</f>
        <v>32254</v>
      </c>
      <c r="Q275" s="1179"/>
      <c r="R275" s="294">
        <f>R276+R277</f>
        <v>500</v>
      </c>
      <c r="S275" s="294">
        <f>S276+S277</f>
        <v>500</v>
      </c>
      <c r="V275" s="31"/>
    </row>
    <row r="276" spans="2:22" ht="30">
      <c r="B276" s="263" t="s">
        <v>3092</v>
      </c>
      <c r="C276" s="263"/>
      <c r="D276" s="182" t="s">
        <v>3093</v>
      </c>
      <c r="E276" s="419">
        <v>41121</v>
      </c>
      <c r="F276" s="419" t="s">
        <v>5885</v>
      </c>
      <c r="G276" s="72" t="s">
        <v>5886</v>
      </c>
      <c r="H276" s="1103"/>
      <c r="I276" s="631"/>
      <c r="J276" s="632"/>
      <c r="L276" s="186">
        <v>500</v>
      </c>
      <c r="M276" s="203"/>
      <c r="N276" s="203">
        <f t="shared" si="119"/>
        <v>500</v>
      </c>
      <c r="O276" s="31"/>
      <c r="P276" s="647" t="s">
        <v>110</v>
      </c>
      <c r="Q276" s="1136" t="s">
        <v>105</v>
      </c>
      <c r="R276" s="1003">
        <v>500</v>
      </c>
      <c r="S276" s="1003">
        <v>500</v>
      </c>
      <c r="T276" s="1115" t="s">
        <v>4741</v>
      </c>
      <c r="V276" s="31" t="s">
        <v>203</v>
      </c>
    </row>
    <row r="277" spans="2:22" ht="30">
      <c r="B277" s="263" t="s">
        <v>3092</v>
      </c>
      <c r="C277" s="263"/>
      <c r="D277" s="182" t="s">
        <v>3094</v>
      </c>
      <c r="E277" s="419">
        <v>41221</v>
      </c>
      <c r="F277" s="419" t="s">
        <v>5885</v>
      </c>
      <c r="G277" s="72" t="s">
        <v>5886</v>
      </c>
      <c r="H277" s="1103"/>
      <c r="I277" s="631"/>
      <c r="J277" s="632"/>
      <c r="L277" s="186">
        <v>500</v>
      </c>
      <c r="M277" s="203"/>
      <c r="N277" s="203">
        <f t="shared" si="119"/>
        <v>500</v>
      </c>
      <c r="O277" s="31"/>
      <c r="P277" s="647" t="s">
        <v>110</v>
      </c>
      <c r="Q277" s="1136" t="s">
        <v>105</v>
      </c>
      <c r="V277" s="31" t="s">
        <v>203</v>
      </c>
    </row>
    <row r="278" spans="2:22">
      <c r="B278" s="263"/>
      <c r="C278" s="263"/>
      <c r="D278" s="182"/>
      <c r="E278" s="419"/>
      <c r="F278" s="419"/>
      <c r="G278" s="1103"/>
      <c r="H278" s="1103"/>
      <c r="I278" s="1177"/>
      <c r="J278" s="1225"/>
      <c r="L278" s="186"/>
      <c r="M278" s="203"/>
      <c r="N278" s="203"/>
      <c r="O278" s="31"/>
      <c r="V278" s="31"/>
    </row>
    <row r="279" spans="2:22">
      <c r="B279" s="263"/>
      <c r="C279" s="263"/>
      <c r="D279" s="182"/>
      <c r="E279" s="419"/>
      <c r="F279" s="419"/>
      <c r="G279" s="420"/>
      <c r="H279" s="1103"/>
      <c r="I279" s="1177">
        <v>139194</v>
      </c>
      <c r="J279" s="1225"/>
      <c r="K279" s="1199"/>
      <c r="L279" s="294">
        <f>L280+L281</f>
        <v>1250</v>
      </c>
      <c r="M279" s="294"/>
      <c r="N279" s="294">
        <f t="shared" ref="N279" si="122">N280+N281</f>
        <v>1250</v>
      </c>
      <c r="O279" s="1179">
        <f>N279+I279</f>
        <v>140444</v>
      </c>
      <c r="Q279" s="1179"/>
      <c r="R279" s="294">
        <f t="shared" ref="R279:S279" si="123">R280+R281</f>
        <v>314</v>
      </c>
      <c r="S279" s="294">
        <f t="shared" si="123"/>
        <v>314</v>
      </c>
      <c r="V279" s="31"/>
    </row>
    <row r="280" spans="2:22" ht="45">
      <c r="B280" s="263" t="s">
        <v>3096</v>
      </c>
      <c r="C280" s="263"/>
      <c r="D280" s="182" t="s">
        <v>3097</v>
      </c>
      <c r="E280" s="419">
        <v>41173</v>
      </c>
      <c r="F280" s="419" t="s">
        <v>3095</v>
      </c>
      <c r="G280" s="72" t="s">
        <v>5887</v>
      </c>
      <c r="H280" s="1103"/>
      <c r="I280" s="631"/>
      <c r="J280" s="632"/>
      <c r="L280" s="186">
        <v>250</v>
      </c>
      <c r="M280" s="203"/>
      <c r="N280" s="203">
        <f t="shared" si="119"/>
        <v>250</v>
      </c>
      <c r="O280" s="31"/>
      <c r="P280" s="647" t="s">
        <v>110</v>
      </c>
      <c r="Q280" s="1136" t="s">
        <v>105</v>
      </c>
      <c r="V280" s="31" t="s">
        <v>3098</v>
      </c>
    </row>
    <row r="281" spans="2:22" ht="60">
      <c r="B281" s="263" t="s">
        <v>3099</v>
      </c>
      <c r="C281" s="263"/>
      <c r="D281" s="77" t="s">
        <v>3100</v>
      </c>
      <c r="E281" s="78">
        <v>41340</v>
      </c>
      <c r="F281" s="78" t="s">
        <v>5888</v>
      </c>
      <c r="G281" s="72" t="s">
        <v>5889</v>
      </c>
      <c r="H281" s="1103"/>
      <c r="I281" s="631"/>
      <c r="J281" s="632"/>
      <c r="L281" s="186">
        <v>1000</v>
      </c>
      <c r="M281" s="186"/>
      <c r="N281" s="264">
        <f>SUM(K281:M281)</f>
        <v>1000</v>
      </c>
      <c r="O281" s="31"/>
      <c r="P281" s="647" t="s">
        <v>110</v>
      </c>
      <c r="Q281" s="1136" t="s">
        <v>105</v>
      </c>
      <c r="R281" s="1226">
        <v>314</v>
      </c>
      <c r="S281" s="1226">
        <v>314</v>
      </c>
      <c r="T281" s="1227" t="s">
        <v>6043</v>
      </c>
      <c r="V281" s="31" t="s">
        <v>3101</v>
      </c>
    </row>
    <row r="282" spans="2:22">
      <c r="B282" s="263"/>
      <c r="C282" s="263"/>
      <c r="D282" s="77"/>
      <c r="E282" s="78"/>
      <c r="F282" s="78"/>
      <c r="G282" s="1103"/>
      <c r="H282" s="1103"/>
      <c r="I282" s="1177"/>
      <c r="J282" s="1225"/>
      <c r="L282" s="186"/>
      <c r="M282" s="186"/>
      <c r="N282" s="264"/>
      <c r="O282" s="31"/>
      <c r="V282" s="31"/>
    </row>
    <row r="283" spans="2:22">
      <c r="B283" s="263"/>
      <c r="C283" s="263"/>
      <c r="D283" s="77"/>
      <c r="E283" s="78"/>
      <c r="F283" s="78"/>
      <c r="G283" s="199"/>
      <c r="H283" s="1103"/>
      <c r="I283" s="1177">
        <v>121744</v>
      </c>
      <c r="J283" s="1225"/>
      <c r="K283" s="1199"/>
      <c r="L283" s="294">
        <f>L284+L285</f>
        <v>2300</v>
      </c>
      <c r="M283" s="294"/>
      <c r="N283" s="294">
        <f t="shared" ref="N283" si="124">N284+N285</f>
        <v>2300</v>
      </c>
      <c r="O283" s="1179">
        <f>N283+I283</f>
        <v>124044</v>
      </c>
      <c r="Q283" s="1179"/>
      <c r="R283" s="294">
        <f t="shared" ref="R283:S283" si="125">R284+R285</f>
        <v>0</v>
      </c>
      <c r="S283" s="294">
        <f t="shared" si="125"/>
        <v>0</v>
      </c>
      <c r="V283" s="31"/>
    </row>
    <row r="284" spans="2:22" ht="60">
      <c r="B284" s="296" t="s">
        <v>3103</v>
      </c>
      <c r="C284" s="296"/>
      <c r="D284" s="182" t="s">
        <v>3104</v>
      </c>
      <c r="E284" s="419">
        <v>41121</v>
      </c>
      <c r="F284" s="419" t="s">
        <v>5890</v>
      </c>
      <c r="G284" s="185" t="s">
        <v>5891</v>
      </c>
      <c r="H284" s="185"/>
      <c r="I284" s="631"/>
      <c r="J284" s="632"/>
      <c r="L284" s="186">
        <v>300</v>
      </c>
      <c r="M284" s="203"/>
      <c r="N284" s="203">
        <f t="shared" si="119"/>
        <v>300</v>
      </c>
      <c r="O284" s="31"/>
      <c r="P284" s="647" t="s">
        <v>110</v>
      </c>
      <c r="Q284" s="1136" t="s">
        <v>105</v>
      </c>
      <c r="V284" s="31" t="s">
        <v>217</v>
      </c>
    </row>
    <row r="285" spans="2:22" ht="45">
      <c r="B285" s="263" t="s">
        <v>3105</v>
      </c>
      <c r="C285" s="263"/>
      <c r="D285" s="77" t="s">
        <v>3106</v>
      </c>
      <c r="E285" s="78">
        <v>41347</v>
      </c>
      <c r="F285" s="78" t="s">
        <v>5892</v>
      </c>
      <c r="G285" s="1103" t="s">
        <v>5893</v>
      </c>
      <c r="H285" s="1103"/>
      <c r="I285" s="631"/>
      <c r="J285" s="632"/>
      <c r="L285" s="186">
        <v>2000</v>
      </c>
      <c r="M285" s="186"/>
      <c r="N285" s="264">
        <f>SUM(K285:M285)</f>
        <v>2000</v>
      </c>
      <c r="O285" s="31"/>
      <c r="P285" s="647" t="s">
        <v>110</v>
      </c>
      <c r="Q285" s="1136" t="s">
        <v>105</v>
      </c>
      <c r="T285" s="1115" t="s">
        <v>5709</v>
      </c>
      <c r="V285" s="31" t="s">
        <v>209</v>
      </c>
    </row>
    <row r="286" spans="2:22">
      <c r="B286" s="263"/>
      <c r="C286" s="263"/>
      <c r="D286" s="77"/>
      <c r="E286" s="78"/>
      <c r="F286" s="78"/>
      <c r="G286" s="1103"/>
      <c r="H286" s="1103"/>
      <c r="I286" s="1177"/>
      <c r="J286" s="1225"/>
      <c r="L286" s="186"/>
      <c r="M286" s="186"/>
      <c r="N286" s="264"/>
      <c r="O286" s="31"/>
      <c r="V286" s="31"/>
    </row>
    <row r="287" spans="2:22">
      <c r="B287" s="263"/>
      <c r="C287" s="263"/>
      <c r="D287" s="77"/>
      <c r="E287" s="78"/>
      <c r="F287" s="78"/>
      <c r="G287" s="420"/>
      <c r="H287" s="1103"/>
      <c r="I287" s="1177">
        <v>132209</v>
      </c>
      <c r="J287" s="1225"/>
      <c r="K287" s="1199"/>
      <c r="L287" s="294">
        <f>L288+L289</f>
        <v>2500</v>
      </c>
      <c r="M287" s="294"/>
      <c r="N287" s="294">
        <f t="shared" ref="N287" si="126">N288+N289</f>
        <v>2500</v>
      </c>
      <c r="O287" s="1179">
        <f>N287+I287</f>
        <v>134709</v>
      </c>
      <c r="Q287" s="1179"/>
      <c r="R287" s="294">
        <f t="shared" ref="R287:S287" si="127">R288+R289</f>
        <v>0</v>
      </c>
      <c r="S287" s="294">
        <f t="shared" si="127"/>
        <v>0</v>
      </c>
      <c r="V287" s="31"/>
    </row>
    <row r="288" spans="2:22" ht="45">
      <c r="B288" s="263" t="s">
        <v>3108</v>
      </c>
      <c r="C288" s="263"/>
      <c r="D288" s="182" t="s">
        <v>3109</v>
      </c>
      <c r="E288" s="419">
        <v>41250</v>
      </c>
      <c r="F288" s="419" t="s">
        <v>5894</v>
      </c>
      <c r="G288" s="72" t="s">
        <v>5895</v>
      </c>
      <c r="H288" s="1103"/>
      <c r="I288" s="631"/>
      <c r="J288" s="632"/>
      <c r="L288" s="186">
        <v>2000</v>
      </c>
      <c r="M288" s="203"/>
      <c r="N288" s="203">
        <f t="shared" si="119"/>
        <v>2000</v>
      </c>
      <c r="O288" s="31"/>
      <c r="P288" s="647" t="s">
        <v>110</v>
      </c>
      <c r="Q288" s="1136" t="s">
        <v>105</v>
      </c>
      <c r="V288" s="31" t="s">
        <v>3098</v>
      </c>
    </row>
    <row r="289" spans="2:22" ht="45">
      <c r="B289" s="263" t="s">
        <v>3108</v>
      </c>
      <c r="C289" s="263"/>
      <c r="D289" s="77" t="s">
        <v>3110</v>
      </c>
      <c r="E289" s="78">
        <v>41290</v>
      </c>
      <c r="F289" s="78" t="s">
        <v>5894</v>
      </c>
      <c r="G289" s="72" t="s">
        <v>5896</v>
      </c>
      <c r="H289" s="1103"/>
      <c r="I289" s="631"/>
      <c r="J289" s="632"/>
      <c r="L289" s="186">
        <v>500</v>
      </c>
      <c r="M289" s="186"/>
      <c r="N289" s="264">
        <f>SUM(K289:M289)</f>
        <v>500</v>
      </c>
      <c r="O289" s="31"/>
      <c r="V289" s="31" t="s">
        <v>3098</v>
      </c>
    </row>
    <row r="290" spans="2:22">
      <c r="B290" s="263"/>
      <c r="C290" s="263"/>
      <c r="D290" s="77"/>
      <c r="E290" s="78"/>
      <c r="F290" s="78"/>
      <c r="G290" s="1103"/>
      <c r="H290" s="1103"/>
      <c r="I290" s="1177"/>
      <c r="J290" s="1225"/>
      <c r="L290" s="186"/>
      <c r="M290" s="186"/>
      <c r="N290" s="264"/>
      <c r="O290" s="31"/>
      <c r="V290" s="31"/>
    </row>
    <row r="291" spans="2:22">
      <c r="B291" s="263"/>
      <c r="C291" s="263"/>
      <c r="D291" s="77"/>
      <c r="E291" s="78"/>
      <c r="F291" s="78"/>
      <c r="G291" s="420"/>
      <c r="H291" s="1103"/>
      <c r="I291" s="1177">
        <v>490039</v>
      </c>
      <c r="J291" s="1225"/>
      <c r="K291" s="1199"/>
      <c r="L291" s="294">
        <f>SUM(L292:L299)</f>
        <v>4300</v>
      </c>
      <c r="M291" s="294"/>
      <c r="N291" s="294">
        <f t="shared" ref="N291" si="128">SUM(N292:N299)</f>
        <v>4300</v>
      </c>
      <c r="O291" s="1179">
        <f>N291+I291</f>
        <v>494339</v>
      </c>
      <c r="Q291" s="1179"/>
      <c r="R291" s="294">
        <f t="shared" ref="R291:S291" si="129">SUM(R292:R299)</f>
        <v>0</v>
      </c>
      <c r="S291" s="294">
        <f t="shared" si="129"/>
        <v>0</v>
      </c>
      <c r="V291" s="31"/>
    </row>
    <row r="292" spans="2:22" ht="30">
      <c r="B292" s="263" t="s">
        <v>3112</v>
      </c>
      <c r="C292" s="263"/>
      <c r="D292" s="182" t="s">
        <v>3113</v>
      </c>
      <c r="E292" s="419">
        <v>41121</v>
      </c>
      <c r="F292" s="419" t="s">
        <v>5738</v>
      </c>
      <c r="G292" s="72" t="s">
        <v>5897</v>
      </c>
      <c r="H292" s="1103"/>
      <c r="I292" s="631"/>
      <c r="J292" s="632"/>
      <c r="L292" s="186">
        <v>300</v>
      </c>
      <c r="M292" s="203"/>
      <c r="N292" s="203">
        <f t="shared" si="119"/>
        <v>300</v>
      </c>
      <c r="O292" s="31"/>
      <c r="P292" s="647" t="s">
        <v>110</v>
      </c>
      <c r="Q292" s="1136" t="s">
        <v>105</v>
      </c>
      <c r="V292" s="31" t="s">
        <v>206</v>
      </c>
    </row>
    <row r="293" spans="2:22" ht="30">
      <c r="B293" s="263" t="s">
        <v>3112</v>
      </c>
      <c r="C293" s="263"/>
      <c r="D293" s="182" t="s">
        <v>3114</v>
      </c>
      <c r="E293" s="419">
        <v>41124</v>
      </c>
      <c r="F293" s="419" t="s">
        <v>5738</v>
      </c>
      <c r="G293" s="72" t="s">
        <v>5897</v>
      </c>
      <c r="H293" s="1103"/>
      <c r="I293" s="631"/>
      <c r="J293" s="632"/>
      <c r="L293" s="186">
        <v>500</v>
      </c>
      <c r="M293" s="203"/>
      <c r="N293" s="203">
        <f t="shared" si="119"/>
        <v>500</v>
      </c>
      <c r="O293" s="31"/>
      <c r="P293" s="647" t="s">
        <v>110</v>
      </c>
      <c r="Q293" s="1136" t="s">
        <v>105</v>
      </c>
      <c r="V293" s="31" t="s">
        <v>206</v>
      </c>
    </row>
    <row r="294" spans="2:22" ht="30">
      <c r="B294" s="263" t="s">
        <v>3112</v>
      </c>
      <c r="C294" s="263"/>
      <c r="D294" s="182" t="s">
        <v>3115</v>
      </c>
      <c r="E294" s="419">
        <v>41134</v>
      </c>
      <c r="F294" s="419" t="s">
        <v>5738</v>
      </c>
      <c r="G294" s="72" t="s">
        <v>5897</v>
      </c>
      <c r="H294" s="1103"/>
      <c r="I294" s="631"/>
      <c r="J294" s="632"/>
      <c r="L294" s="186">
        <v>500</v>
      </c>
      <c r="M294" s="203"/>
      <c r="N294" s="203">
        <f t="shared" si="119"/>
        <v>500</v>
      </c>
      <c r="O294" s="31"/>
      <c r="P294" s="647" t="s">
        <v>110</v>
      </c>
      <c r="Q294" s="1136" t="s">
        <v>105</v>
      </c>
      <c r="V294" s="31" t="s">
        <v>206</v>
      </c>
    </row>
    <row r="295" spans="2:22" ht="30">
      <c r="B295" s="263" t="s">
        <v>3112</v>
      </c>
      <c r="C295" s="263"/>
      <c r="D295" s="182" t="s">
        <v>3116</v>
      </c>
      <c r="E295" s="419">
        <v>41145</v>
      </c>
      <c r="F295" s="419" t="s">
        <v>5738</v>
      </c>
      <c r="G295" s="72" t="s">
        <v>5897</v>
      </c>
      <c r="H295" s="1103"/>
      <c r="I295" s="631"/>
      <c r="J295" s="632"/>
      <c r="L295" s="186">
        <v>350</v>
      </c>
      <c r="M295" s="203"/>
      <c r="N295" s="203">
        <f t="shared" si="119"/>
        <v>350</v>
      </c>
      <c r="O295" s="31"/>
      <c r="P295" s="647" t="s">
        <v>110</v>
      </c>
      <c r="Q295" s="1136" t="s">
        <v>105</v>
      </c>
      <c r="V295" s="31" t="s">
        <v>206</v>
      </c>
    </row>
    <row r="296" spans="2:22" ht="30">
      <c r="B296" s="263" t="s">
        <v>3112</v>
      </c>
      <c r="C296" s="263"/>
      <c r="D296" s="182" t="s">
        <v>3117</v>
      </c>
      <c r="E296" s="419">
        <v>41204</v>
      </c>
      <c r="F296" s="419" t="s">
        <v>5738</v>
      </c>
      <c r="G296" s="72" t="s">
        <v>5897</v>
      </c>
      <c r="H296" s="1103"/>
      <c r="I296" s="631"/>
      <c r="J296" s="632"/>
      <c r="L296" s="186">
        <v>350</v>
      </c>
      <c r="M296" s="203"/>
      <c r="N296" s="203">
        <f t="shared" si="119"/>
        <v>350</v>
      </c>
      <c r="O296" s="31"/>
      <c r="P296" s="647" t="s">
        <v>110</v>
      </c>
      <c r="Q296" s="1136" t="s">
        <v>105</v>
      </c>
      <c r="V296" s="31" t="s">
        <v>206</v>
      </c>
    </row>
    <row r="297" spans="2:22" ht="30">
      <c r="B297" s="263" t="s">
        <v>3112</v>
      </c>
      <c r="C297" s="263"/>
      <c r="D297" s="182" t="s">
        <v>3118</v>
      </c>
      <c r="E297" s="419">
        <v>41221</v>
      </c>
      <c r="F297" s="419" t="s">
        <v>5738</v>
      </c>
      <c r="G297" s="72" t="s">
        <v>5897</v>
      </c>
      <c r="H297" s="1103"/>
      <c r="I297" s="631"/>
      <c r="J297" s="632"/>
      <c r="L297" s="186">
        <v>800</v>
      </c>
      <c r="M297" s="203"/>
      <c r="N297" s="203">
        <f t="shared" si="119"/>
        <v>800</v>
      </c>
      <c r="O297" s="31"/>
      <c r="P297" s="647" t="s">
        <v>110</v>
      </c>
      <c r="Q297" s="1136" t="s">
        <v>105</v>
      </c>
      <c r="V297" s="31" t="s">
        <v>206</v>
      </c>
    </row>
    <row r="298" spans="2:22" ht="30">
      <c r="B298" s="263" t="s">
        <v>3112</v>
      </c>
      <c r="C298" s="263"/>
      <c r="D298" s="182" t="s">
        <v>3119</v>
      </c>
      <c r="E298" s="419">
        <v>41250</v>
      </c>
      <c r="F298" s="419" t="s">
        <v>5738</v>
      </c>
      <c r="G298" s="72" t="s">
        <v>5897</v>
      </c>
      <c r="H298" s="1103"/>
      <c r="I298" s="631"/>
      <c r="J298" s="632"/>
      <c r="L298" s="186">
        <v>500</v>
      </c>
      <c r="M298" s="203"/>
      <c r="N298" s="203">
        <f t="shared" si="119"/>
        <v>500</v>
      </c>
      <c r="O298" s="31"/>
      <c r="P298" s="647" t="s">
        <v>110</v>
      </c>
      <c r="Q298" s="1136" t="s">
        <v>105</v>
      </c>
      <c r="V298" s="31" t="s">
        <v>206</v>
      </c>
    </row>
    <row r="299" spans="2:22" ht="30">
      <c r="B299" s="263" t="s">
        <v>3112</v>
      </c>
      <c r="C299" s="263"/>
      <c r="D299" s="182" t="s">
        <v>3120</v>
      </c>
      <c r="E299" s="419">
        <v>41250</v>
      </c>
      <c r="F299" s="419" t="s">
        <v>5738</v>
      </c>
      <c r="G299" s="72" t="s">
        <v>5897</v>
      </c>
      <c r="H299" s="1103"/>
      <c r="I299" s="631"/>
      <c r="J299" s="632"/>
      <c r="L299" s="186">
        <v>1000</v>
      </c>
      <c r="M299" s="203"/>
      <c r="N299" s="203">
        <f t="shared" si="119"/>
        <v>1000</v>
      </c>
      <c r="O299" s="31"/>
      <c r="P299" s="647" t="s">
        <v>110</v>
      </c>
      <c r="Q299" s="1136" t="s">
        <v>105</v>
      </c>
      <c r="V299" s="31" t="s">
        <v>206</v>
      </c>
    </row>
    <row r="301" spans="2:22" ht="45">
      <c r="B301" s="263" t="s">
        <v>3121</v>
      </c>
      <c r="C301" s="263"/>
      <c r="D301" s="182" t="s">
        <v>3122</v>
      </c>
      <c r="E301" s="419">
        <v>41250</v>
      </c>
      <c r="F301" s="419" t="s">
        <v>5898</v>
      </c>
      <c r="G301" s="1103" t="s">
        <v>5899</v>
      </c>
      <c r="H301" s="1103"/>
      <c r="I301" s="691">
        <v>28936</v>
      </c>
      <c r="J301" s="1224"/>
      <c r="L301" s="184">
        <v>2000</v>
      </c>
      <c r="M301" s="201"/>
      <c r="N301" s="201">
        <f t="shared" ref="N301:N304" si="130">SUM(K301:M301)</f>
        <v>2000</v>
      </c>
      <c r="O301" s="1179">
        <f>N301+I301</f>
        <v>30936</v>
      </c>
      <c r="P301" s="647" t="s">
        <v>110</v>
      </c>
      <c r="Q301" s="1136" t="s">
        <v>105</v>
      </c>
      <c r="V301" s="31" t="s">
        <v>3123</v>
      </c>
    </row>
    <row r="302" spans="2:22">
      <c r="B302" s="263"/>
      <c r="C302" s="263"/>
      <c r="D302" s="182"/>
      <c r="E302" s="419"/>
      <c r="F302" s="419"/>
      <c r="G302" s="1103"/>
      <c r="H302" s="1103"/>
      <c r="I302" s="691"/>
      <c r="J302" s="1224"/>
      <c r="L302" s="184"/>
      <c r="M302" s="201"/>
      <c r="N302" s="201"/>
      <c r="O302" s="31"/>
      <c r="V302" s="31"/>
    </row>
    <row r="303" spans="2:22">
      <c r="B303" s="263"/>
      <c r="C303" s="263"/>
      <c r="D303" s="182"/>
      <c r="E303" s="419"/>
      <c r="F303" s="419"/>
      <c r="G303" s="420"/>
      <c r="H303" s="1103"/>
      <c r="I303" s="691">
        <v>172247</v>
      </c>
      <c r="J303" s="1224"/>
      <c r="K303" s="1199"/>
      <c r="L303" s="294">
        <f>SUM(L304:L305)</f>
        <v>5500</v>
      </c>
      <c r="M303" s="294"/>
      <c r="N303" s="294">
        <f t="shared" ref="N303" si="131">SUM(N304:N305)</f>
        <v>5500</v>
      </c>
      <c r="O303" s="1179">
        <f>N303+I303</f>
        <v>177747</v>
      </c>
      <c r="Q303" s="1179"/>
      <c r="R303" s="294">
        <f t="shared" ref="R303:S303" si="132">SUM(R304:R305)</f>
        <v>0</v>
      </c>
      <c r="S303" s="294">
        <f t="shared" si="132"/>
        <v>0</v>
      </c>
      <c r="V303" s="31"/>
    </row>
    <row r="304" spans="2:22" ht="45">
      <c r="B304" s="263" t="s">
        <v>3125</v>
      </c>
      <c r="C304" s="263"/>
      <c r="D304" s="182" t="s">
        <v>3126</v>
      </c>
      <c r="E304" s="419">
        <v>41250</v>
      </c>
      <c r="F304" s="419" t="s">
        <v>3124</v>
      </c>
      <c r="G304" s="72" t="s">
        <v>5900</v>
      </c>
      <c r="H304" s="1103"/>
      <c r="I304" s="631"/>
      <c r="J304" s="632"/>
      <c r="L304" s="186">
        <v>500</v>
      </c>
      <c r="M304" s="203"/>
      <c r="N304" s="203">
        <f t="shared" si="130"/>
        <v>500</v>
      </c>
      <c r="O304" s="31"/>
      <c r="P304" s="647" t="s">
        <v>110</v>
      </c>
      <c r="Q304" s="1136" t="s">
        <v>105</v>
      </c>
      <c r="V304" s="31" t="s">
        <v>209</v>
      </c>
    </row>
    <row r="305" spans="2:22" ht="45">
      <c r="B305" s="263" t="s">
        <v>207</v>
      </c>
      <c r="C305" s="263"/>
      <c r="D305" s="77" t="s">
        <v>3127</v>
      </c>
      <c r="E305" s="78">
        <v>41332</v>
      </c>
      <c r="F305" s="78" t="s">
        <v>5901</v>
      </c>
      <c r="G305" s="72" t="s">
        <v>5902</v>
      </c>
      <c r="H305" s="1103"/>
      <c r="I305" s="631"/>
      <c r="J305" s="632"/>
      <c r="L305" s="186">
        <v>5000</v>
      </c>
      <c r="M305" s="186"/>
      <c r="N305" s="264">
        <f>SUM(K305:M305)</f>
        <v>5000</v>
      </c>
      <c r="O305" s="31"/>
      <c r="P305" s="647" t="s">
        <v>110</v>
      </c>
      <c r="Q305" s="1136" t="s">
        <v>105</v>
      </c>
      <c r="V305" s="31" t="s">
        <v>209</v>
      </c>
    </row>
    <row r="307" spans="2:22" ht="60">
      <c r="B307" s="263" t="s">
        <v>3128</v>
      </c>
      <c r="C307" s="263"/>
      <c r="D307" s="182" t="s">
        <v>3129</v>
      </c>
      <c r="E307" s="419">
        <v>41250</v>
      </c>
      <c r="F307" s="419" t="s">
        <v>5903</v>
      </c>
      <c r="G307" s="1103" t="s">
        <v>5904</v>
      </c>
      <c r="H307" s="1103"/>
      <c r="I307" s="691">
        <v>142703</v>
      </c>
      <c r="J307" s="1224"/>
      <c r="L307" s="184">
        <v>2000</v>
      </c>
      <c r="M307" s="201"/>
      <c r="N307" s="201">
        <f t="shared" ref="N307:N319" si="133">SUM(K307:M307)</f>
        <v>2000</v>
      </c>
      <c r="O307" s="31"/>
      <c r="P307" s="647" t="s">
        <v>110</v>
      </c>
      <c r="Q307" s="1136" t="s">
        <v>105</v>
      </c>
      <c r="R307" s="1003">
        <v>1994</v>
      </c>
      <c r="S307" s="1003">
        <v>1994</v>
      </c>
      <c r="T307" s="1115">
        <v>2100</v>
      </c>
      <c r="V307" s="31" t="s">
        <v>3123</v>
      </c>
    </row>
    <row r="308" spans="2:22">
      <c r="B308" s="263"/>
      <c r="C308" s="263"/>
      <c r="D308" s="182"/>
      <c r="E308" s="419"/>
      <c r="F308" s="419"/>
      <c r="G308" s="1103"/>
      <c r="H308" s="1103"/>
      <c r="I308" s="691"/>
      <c r="J308" s="1224"/>
      <c r="L308" s="186"/>
      <c r="M308" s="203"/>
      <c r="N308" s="203"/>
      <c r="O308" s="31"/>
      <c r="V308" s="31"/>
    </row>
    <row r="309" spans="2:22">
      <c r="B309" s="263"/>
      <c r="C309" s="263"/>
      <c r="D309" s="182"/>
      <c r="E309" s="419"/>
      <c r="F309" s="419"/>
      <c r="G309" s="420"/>
      <c r="H309" s="1103"/>
      <c r="I309" s="691">
        <v>123918</v>
      </c>
      <c r="J309" s="1224"/>
      <c r="K309" s="1199"/>
      <c r="L309" s="294">
        <f>L310+L311</f>
        <v>4000</v>
      </c>
      <c r="M309" s="294"/>
      <c r="N309" s="294">
        <f t="shared" ref="N309" si="134">N310+N311</f>
        <v>4000</v>
      </c>
      <c r="O309" s="1179">
        <f>N309+I309</f>
        <v>127918</v>
      </c>
      <c r="Q309" s="1179"/>
      <c r="R309" s="294">
        <f t="shared" ref="R309:S309" si="135">R310+R311</f>
        <v>0</v>
      </c>
      <c r="S309" s="294">
        <f t="shared" si="135"/>
        <v>0</v>
      </c>
      <c r="V309" s="31"/>
    </row>
    <row r="310" spans="2:22" ht="45">
      <c r="B310" s="263" t="s">
        <v>3131</v>
      </c>
      <c r="C310" s="263"/>
      <c r="D310" s="182" t="s">
        <v>3132</v>
      </c>
      <c r="E310" s="419">
        <v>41250</v>
      </c>
      <c r="F310" s="419" t="s">
        <v>5905</v>
      </c>
      <c r="G310" s="72" t="s">
        <v>5906</v>
      </c>
      <c r="H310" s="1103"/>
      <c r="I310" s="631"/>
      <c r="J310" s="632"/>
      <c r="L310" s="186">
        <v>2000</v>
      </c>
      <c r="M310" s="203"/>
      <c r="N310" s="203">
        <f t="shared" si="133"/>
        <v>2000</v>
      </c>
      <c r="O310" s="31"/>
      <c r="P310" s="647" t="s">
        <v>110</v>
      </c>
      <c r="Q310" s="1136" t="s">
        <v>105</v>
      </c>
      <c r="V310" s="31" t="s">
        <v>3101</v>
      </c>
    </row>
    <row r="311" spans="2:22" ht="45">
      <c r="B311" s="263" t="s">
        <v>3133</v>
      </c>
      <c r="C311" s="263"/>
      <c r="D311" s="77" t="s">
        <v>3134</v>
      </c>
      <c r="E311" s="78">
        <v>41332</v>
      </c>
      <c r="F311" s="78" t="s">
        <v>5905</v>
      </c>
      <c r="G311" s="72" t="s">
        <v>5906</v>
      </c>
      <c r="H311" s="1103"/>
      <c r="I311" s="631"/>
      <c r="J311" s="632"/>
      <c r="L311" s="186">
        <v>2000</v>
      </c>
      <c r="M311" s="186"/>
      <c r="N311" s="264">
        <f>SUM(K311:M311)</f>
        <v>2000</v>
      </c>
      <c r="O311" s="31"/>
      <c r="P311" s="647" t="s">
        <v>110</v>
      </c>
      <c r="Q311" s="1136" t="s">
        <v>105</v>
      </c>
      <c r="V311" s="31" t="s">
        <v>3101</v>
      </c>
    </row>
    <row r="312" spans="2:22">
      <c r="B312" s="263"/>
      <c r="C312" s="263"/>
      <c r="D312" s="77"/>
      <c r="E312" s="78"/>
      <c r="F312" s="78"/>
      <c r="G312" s="1103"/>
      <c r="H312" s="1103"/>
      <c r="I312" s="1177"/>
      <c r="J312" s="1225"/>
      <c r="L312" s="186"/>
      <c r="M312" s="186"/>
      <c r="N312" s="264"/>
      <c r="O312" s="31"/>
      <c r="V312" s="31"/>
    </row>
    <row r="313" spans="2:22">
      <c r="B313" s="263"/>
      <c r="C313" s="263"/>
      <c r="D313" s="77"/>
      <c r="E313" s="78"/>
      <c r="F313" s="78"/>
      <c r="G313" s="420"/>
      <c r="H313" s="1103"/>
      <c r="I313" s="1177">
        <v>135679</v>
      </c>
      <c r="J313" s="1225"/>
      <c r="K313" s="1199"/>
      <c r="L313" s="294">
        <f>L314+L315</f>
        <v>10000</v>
      </c>
      <c r="M313" s="294">
        <f t="shared" ref="M313:N313" si="136">M314+M315</f>
        <v>0</v>
      </c>
      <c r="N313" s="294">
        <f t="shared" si="136"/>
        <v>10000</v>
      </c>
      <c r="O313" s="1179">
        <f>N313+I313</f>
        <v>145679</v>
      </c>
      <c r="Q313" s="1179"/>
      <c r="R313" s="294">
        <f t="shared" ref="R313:S313" si="137">R314+R315</f>
        <v>0</v>
      </c>
      <c r="S313" s="294">
        <f t="shared" si="137"/>
        <v>0</v>
      </c>
      <c r="V313" s="31"/>
    </row>
    <row r="314" spans="2:22" ht="45">
      <c r="B314" s="263" t="s">
        <v>3136</v>
      </c>
      <c r="C314" s="263"/>
      <c r="D314" s="182" t="s">
        <v>3137</v>
      </c>
      <c r="E314" s="419">
        <v>41260</v>
      </c>
      <c r="F314" s="419" t="s">
        <v>3135</v>
      </c>
      <c r="G314" s="72" t="s">
        <v>5907</v>
      </c>
      <c r="H314" s="1103"/>
      <c r="I314" s="631"/>
      <c r="J314" s="632"/>
      <c r="L314" s="186">
        <v>5000</v>
      </c>
      <c r="M314" s="203"/>
      <c r="N314" s="203">
        <f t="shared" si="133"/>
        <v>5000</v>
      </c>
      <c r="O314" s="31"/>
      <c r="P314" s="647" t="s">
        <v>110</v>
      </c>
      <c r="Q314" s="1136" t="s">
        <v>105</v>
      </c>
      <c r="V314" s="31" t="s">
        <v>3085</v>
      </c>
    </row>
    <row r="315" spans="2:22" ht="45">
      <c r="B315" s="263" t="s">
        <v>3138</v>
      </c>
      <c r="C315" s="263"/>
      <c r="D315" s="77" t="s">
        <v>3139</v>
      </c>
      <c r="E315" s="78">
        <v>41288</v>
      </c>
      <c r="F315" s="78" t="s">
        <v>3135</v>
      </c>
      <c r="G315" s="72" t="s">
        <v>5908</v>
      </c>
      <c r="H315" s="1103"/>
      <c r="I315" s="631"/>
      <c r="J315" s="632"/>
      <c r="L315" s="186">
        <v>5000</v>
      </c>
      <c r="M315" s="186"/>
      <c r="N315" s="264">
        <f>SUM(K315:M315)</f>
        <v>5000</v>
      </c>
      <c r="O315" s="31"/>
      <c r="P315" s="647" t="s">
        <v>110</v>
      </c>
      <c r="Q315" s="1136" t="s">
        <v>105</v>
      </c>
      <c r="V315" s="31" t="s">
        <v>3085</v>
      </c>
    </row>
    <row r="316" spans="2:22">
      <c r="B316" s="263"/>
      <c r="C316" s="263"/>
      <c r="D316" s="77"/>
      <c r="E316" s="78"/>
      <c r="F316" s="78"/>
      <c r="G316" s="1103"/>
      <c r="H316" s="1103"/>
      <c r="I316" s="1177"/>
      <c r="J316" s="1225"/>
      <c r="L316" s="186"/>
      <c r="M316" s="186"/>
      <c r="N316" s="264"/>
      <c r="O316" s="31"/>
      <c r="V316" s="31"/>
    </row>
    <row r="317" spans="2:22">
      <c r="B317" s="263"/>
      <c r="C317" s="263"/>
      <c r="D317" s="77"/>
      <c r="E317" s="78"/>
      <c r="F317" s="78"/>
      <c r="G317" s="420"/>
      <c r="H317" s="1103"/>
      <c r="I317" s="1177">
        <v>367787</v>
      </c>
      <c r="J317" s="1225"/>
      <c r="K317" s="1199"/>
      <c r="L317" s="294">
        <f>L318+L319+L320+L321</f>
        <v>1800</v>
      </c>
      <c r="M317" s="294"/>
      <c r="N317" s="294">
        <f t="shared" ref="N317" si="138">N318+N319+N320+N321</f>
        <v>1800</v>
      </c>
      <c r="O317" s="1179">
        <f>N317+I317</f>
        <v>369587</v>
      </c>
      <c r="Q317" s="1179"/>
      <c r="R317" s="294">
        <f t="shared" ref="R317:S317" si="139">R318+R319+R320+R321</f>
        <v>0</v>
      </c>
      <c r="S317" s="294">
        <f t="shared" si="139"/>
        <v>0</v>
      </c>
      <c r="V317" s="31"/>
    </row>
    <row r="318" spans="2:22" ht="30">
      <c r="B318" s="263" t="s">
        <v>3140</v>
      </c>
      <c r="C318" s="263"/>
      <c r="D318" s="182" t="s">
        <v>3141</v>
      </c>
      <c r="E318" s="419">
        <v>41204</v>
      </c>
      <c r="F318" s="419" t="s">
        <v>5196</v>
      </c>
      <c r="G318" s="72" t="s">
        <v>5909</v>
      </c>
      <c r="H318" s="1103"/>
      <c r="I318" s="631"/>
      <c r="J318" s="632"/>
      <c r="L318" s="186">
        <v>300</v>
      </c>
      <c r="M318" s="203"/>
      <c r="N318" s="203">
        <f t="shared" si="133"/>
        <v>300</v>
      </c>
      <c r="O318" s="31"/>
      <c r="P318" s="647" t="s">
        <v>110</v>
      </c>
      <c r="Q318" s="1136" t="s">
        <v>105</v>
      </c>
      <c r="V318" s="31" t="s">
        <v>206</v>
      </c>
    </row>
    <row r="319" spans="2:22" ht="30">
      <c r="B319" s="263" t="s">
        <v>3140</v>
      </c>
      <c r="C319" s="263"/>
      <c r="D319" s="182" t="s">
        <v>3142</v>
      </c>
      <c r="E319" s="419">
        <v>41250</v>
      </c>
      <c r="F319" s="419" t="s">
        <v>5196</v>
      </c>
      <c r="G319" s="72" t="s">
        <v>5909</v>
      </c>
      <c r="H319" s="1103"/>
      <c r="I319" s="631"/>
      <c r="J319" s="632"/>
      <c r="L319" s="186">
        <v>1000</v>
      </c>
      <c r="M319" s="203"/>
      <c r="N319" s="203">
        <f t="shared" si="133"/>
        <v>1000</v>
      </c>
      <c r="O319" s="31"/>
      <c r="P319" s="647" t="s">
        <v>110</v>
      </c>
      <c r="Q319" s="1136" t="s">
        <v>105</v>
      </c>
      <c r="V319" s="31" t="s">
        <v>206</v>
      </c>
    </row>
    <row r="320" spans="2:22" ht="30">
      <c r="B320" s="263" t="s">
        <v>3140</v>
      </c>
      <c r="C320" s="263"/>
      <c r="D320" s="77" t="s">
        <v>3143</v>
      </c>
      <c r="E320" s="78">
        <v>41415</v>
      </c>
      <c r="F320" s="419" t="s">
        <v>5196</v>
      </c>
      <c r="G320" s="72" t="s">
        <v>5909</v>
      </c>
      <c r="H320" s="1103"/>
      <c r="I320" s="631"/>
      <c r="J320" s="632"/>
      <c r="L320" s="186">
        <v>500</v>
      </c>
      <c r="M320" s="186"/>
      <c r="N320" s="264">
        <f>SUM(K320:M320)</f>
        <v>500</v>
      </c>
      <c r="O320" s="31"/>
      <c r="P320" s="647" t="s">
        <v>110</v>
      </c>
      <c r="Q320" s="1136" t="s">
        <v>105</v>
      </c>
      <c r="V320" s="31" t="s">
        <v>206</v>
      </c>
    </row>
    <row r="322" spans="2:22">
      <c r="B322" s="263"/>
      <c r="C322" s="263"/>
      <c r="D322" s="182"/>
      <c r="E322" s="419"/>
      <c r="F322" s="419"/>
      <c r="G322" s="420"/>
      <c r="H322" s="1103"/>
      <c r="I322" s="1177">
        <v>389315</v>
      </c>
      <c r="J322" s="1225"/>
      <c r="K322" s="1199"/>
      <c r="L322" s="294">
        <f>SUM(L323:L335)</f>
        <v>12850</v>
      </c>
      <c r="M322" s="294"/>
      <c r="N322" s="294">
        <f t="shared" ref="N322" si="140">SUM(N323:N335)</f>
        <v>12850</v>
      </c>
      <c r="O322" s="1179">
        <f>N322+E322</f>
        <v>12850</v>
      </c>
      <c r="Q322" s="1179"/>
      <c r="R322" s="294">
        <f t="shared" ref="R322:S322" si="141">SUM(R323:R335)</f>
        <v>0</v>
      </c>
      <c r="S322" s="294">
        <f t="shared" si="141"/>
        <v>0</v>
      </c>
    </row>
    <row r="323" spans="2:22" ht="30">
      <c r="B323" s="263" t="s">
        <v>3145</v>
      </c>
      <c r="C323" s="263"/>
      <c r="D323" s="182" t="s">
        <v>3146</v>
      </c>
      <c r="E323" s="419">
        <v>41121</v>
      </c>
      <c r="F323" s="419" t="s">
        <v>3144</v>
      </c>
      <c r="G323" s="72" t="s">
        <v>5910</v>
      </c>
      <c r="H323" s="1103"/>
      <c r="I323" s="631"/>
      <c r="J323" s="632"/>
      <c r="L323" s="186">
        <v>500</v>
      </c>
      <c r="M323" s="203"/>
      <c r="N323" s="203">
        <f t="shared" ref="N323:N335" si="142">SUM(I323:M323)</f>
        <v>500</v>
      </c>
      <c r="O323" s="31"/>
      <c r="P323" s="647" t="s">
        <v>110</v>
      </c>
      <c r="Q323" s="1136" t="s">
        <v>105</v>
      </c>
      <c r="V323" s="31" t="s">
        <v>206</v>
      </c>
    </row>
    <row r="324" spans="2:22" ht="30">
      <c r="B324" s="263" t="s">
        <v>3145</v>
      </c>
      <c r="C324" s="263"/>
      <c r="D324" s="182" t="s">
        <v>3147</v>
      </c>
      <c r="E324" s="419">
        <v>41131</v>
      </c>
      <c r="F324" s="419" t="s">
        <v>3144</v>
      </c>
      <c r="G324" s="72" t="s">
        <v>5910</v>
      </c>
      <c r="H324" s="1103"/>
      <c r="I324" s="631"/>
      <c r="J324" s="632"/>
      <c r="L324" s="186">
        <v>500</v>
      </c>
      <c r="M324" s="203"/>
      <c r="N324" s="203">
        <f t="shared" si="142"/>
        <v>500</v>
      </c>
      <c r="O324" s="31"/>
      <c r="P324" s="647" t="s">
        <v>110</v>
      </c>
      <c r="Q324" s="1136" t="s">
        <v>105</v>
      </c>
      <c r="V324" s="31" t="s">
        <v>206</v>
      </c>
    </row>
    <row r="325" spans="2:22" ht="30">
      <c r="B325" s="263" t="s">
        <v>3145</v>
      </c>
      <c r="C325" s="263"/>
      <c r="D325" s="182" t="s">
        <v>3148</v>
      </c>
      <c r="E325" s="419">
        <v>41145</v>
      </c>
      <c r="F325" s="419" t="s">
        <v>3144</v>
      </c>
      <c r="G325" s="72" t="s">
        <v>5910</v>
      </c>
      <c r="H325" s="1103"/>
      <c r="I325" s="631"/>
      <c r="J325" s="632"/>
      <c r="L325" s="186">
        <v>350</v>
      </c>
      <c r="M325" s="203"/>
      <c r="N325" s="203">
        <f t="shared" si="142"/>
        <v>350</v>
      </c>
      <c r="O325" s="31"/>
      <c r="P325" s="647" t="s">
        <v>110</v>
      </c>
      <c r="Q325" s="1136" t="s">
        <v>105</v>
      </c>
      <c r="V325" s="31" t="s">
        <v>206</v>
      </c>
    </row>
    <row r="326" spans="2:22" ht="30">
      <c r="B326" s="263" t="s">
        <v>3145</v>
      </c>
      <c r="C326" s="263"/>
      <c r="D326" s="182" t="s">
        <v>3149</v>
      </c>
      <c r="E326" s="419">
        <v>41204</v>
      </c>
      <c r="F326" s="419" t="s">
        <v>3144</v>
      </c>
      <c r="G326" s="72" t="s">
        <v>5910</v>
      </c>
      <c r="H326" s="1103"/>
      <c r="I326" s="631"/>
      <c r="J326" s="632"/>
      <c r="L326" s="186">
        <v>200</v>
      </c>
      <c r="M326" s="203"/>
      <c r="N326" s="203">
        <f t="shared" si="142"/>
        <v>200</v>
      </c>
      <c r="O326" s="31"/>
      <c r="P326" s="647" t="s">
        <v>110</v>
      </c>
      <c r="Q326" s="1136" t="s">
        <v>105</v>
      </c>
      <c r="V326" s="31" t="s">
        <v>206</v>
      </c>
    </row>
    <row r="327" spans="2:22" ht="30">
      <c r="B327" s="263" t="s">
        <v>3145</v>
      </c>
      <c r="C327" s="263"/>
      <c r="D327" s="182" t="s">
        <v>3150</v>
      </c>
      <c r="E327" s="419">
        <v>41204</v>
      </c>
      <c r="F327" s="419" t="s">
        <v>3144</v>
      </c>
      <c r="G327" s="72" t="s">
        <v>5910</v>
      </c>
      <c r="H327" s="1103"/>
      <c r="I327" s="631"/>
      <c r="J327" s="632"/>
      <c r="L327" s="186">
        <v>300</v>
      </c>
      <c r="M327" s="203"/>
      <c r="N327" s="203">
        <f t="shared" si="142"/>
        <v>300</v>
      </c>
      <c r="O327" s="31"/>
      <c r="P327" s="647" t="s">
        <v>110</v>
      </c>
      <c r="Q327" s="1136" t="s">
        <v>105</v>
      </c>
      <c r="V327" s="31" t="s">
        <v>206</v>
      </c>
    </row>
    <row r="328" spans="2:22" ht="30">
      <c r="B328" s="263" t="s">
        <v>3145</v>
      </c>
      <c r="C328" s="263"/>
      <c r="D328" s="182" t="s">
        <v>3151</v>
      </c>
      <c r="E328" s="419">
        <v>41221</v>
      </c>
      <c r="F328" s="419" t="s">
        <v>3144</v>
      </c>
      <c r="G328" s="72" t="s">
        <v>5910</v>
      </c>
      <c r="H328" s="1103"/>
      <c r="I328" s="631"/>
      <c r="J328" s="632"/>
      <c r="L328" s="186">
        <v>1000</v>
      </c>
      <c r="M328" s="203"/>
      <c r="N328" s="203">
        <f t="shared" si="142"/>
        <v>1000</v>
      </c>
      <c r="O328" s="31"/>
      <c r="P328" s="647" t="s">
        <v>110</v>
      </c>
      <c r="Q328" s="1136" t="s">
        <v>105</v>
      </c>
      <c r="V328" s="31" t="s">
        <v>206</v>
      </c>
    </row>
    <row r="329" spans="2:22" ht="30">
      <c r="B329" s="263" t="s">
        <v>3145</v>
      </c>
      <c r="C329" s="263"/>
      <c r="D329" s="182" t="s">
        <v>3152</v>
      </c>
      <c r="E329" s="419">
        <v>41250</v>
      </c>
      <c r="F329" s="419" t="s">
        <v>3144</v>
      </c>
      <c r="G329" s="72" t="s">
        <v>5910</v>
      </c>
      <c r="H329" s="1103"/>
      <c r="I329" s="631"/>
      <c r="J329" s="632"/>
      <c r="L329" s="186">
        <v>2000</v>
      </c>
      <c r="M329" s="203"/>
      <c r="N329" s="203">
        <f t="shared" si="142"/>
        <v>2000</v>
      </c>
      <c r="O329" s="31"/>
      <c r="P329" s="647" t="s">
        <v>110</v>
      </c>
      <c r="Q329" s="1136" t="s">
        <v>105</v>
      </c>
      <c r="V329" s="31" t="s">
        <v>206</v>
      </c>
    </row>
    <row r="330" spans="2:22" ht="30">
      <c r="B330" s="263" t="s">
        <v>3145</v>
      </c>
      <c r="C330" s="263"/>
      <c r="D330" s="182" t="s">
        <v>3153</v>
      </c>
      <c r="E330" s="419">
        <v>41250</v>
      </c>
      <c r="F330" s="419" t="s">
        <v>3144</v>
      </c>
      <c r="G330" s="72" t="s">
        <v>5910</v>
      </c>
      <c r="H330" s="1103"/>
      <c r="I330" s="631"/>
      <c r="J330" s="632"/>
      <c r="L330" s="186">
        <v>1000</v>
      </c>
      <c r="M330" s="203"/>
      <c r="N330" s="203">
        <f t="shared" si="142"/>
        <v>1000</v>
      </c>
      <c r="O330" s="31"/>
      <c r="P330" s="647" t="s">
        <v>110</v>
      </c>
      <c r="Q330" s="1136" t="s">
        <v>105</v>
      </c>
      <c r="V330" s="31" t="s">
        <v>206</v>
      </c>
    </row>
    <row r="331" spans="2:22" ht="30">
      <c r="B331" s="263" t="s">
        <v>3145</v>
      </c>
      <c r="C331" s="263"/>
      <c r="D331" s="182" t="s">
        <v>3154</v>
      </c>
      <c r="E331" s="419">
        <v>41250</v>
      </c>
      <c r="F331" s="419" t="s">
        <v>3144</v>
      </c>
      <c r="G331" s="72" t="s">
        <v>5910</v>
      </c>
      <c r="H331" s="1103"/>
      <c r="I331" s="631"/>
      <c r="J331" s="632"/>
      <c r="L331" s="186">
        <v>500</v>
      </c>
      <c r="M331" s="203"/>
      <c r="N331" s="203">
        <f t="shared" si="142"/>
        <v>500</v>
      </c>
      <c r="O331" s="31"/>
      <c r="P331" s="647" t="s">
        <v>110</v>
      </c>
      <c r="Q331" s="1136" t="s">
        <v>105</v>
      </c>
      <c r="V331" s="31" t="s">
        <v>206</v>
      </c>
    </row>
    <row r="332" spans="2:22" ht="30">
      <c r="B332" s="263" t="s">
        <v>3145</v>
      </c>
      <c r="C332" s="263"/>
      <c r="D332" s="77" t="s">
        <v>3155</v>
      </c>
      <c r="E332" s="78">
        <v>41284</v>
      </c>
      <c r="F332" s="419" t="s">
        <v>3144</v>
      </c>
      <c r="G332" s="72" t="s">
        <v>5910</v>
      </c>
      <c r="H332" s="1103"/>
      <c r="I332" s="631"/>
      <c r="J332" s="632"/>
      <c r="L332" s="264">
        <v>1000</v>
      </c>
      <c r="M332" s="246"/>
      <c r="N332" s="264">
        <f t="shared" si="142"/>
        <v>1000</v>
      </c>
      <c r="O332" s="31"/>
      <c r="P332" s="647" t="s">
        <v>110</v>
      </c>
      <c r="Q332" s="1136" t="s">
        <v>105</v>
      </c>
      <c r="V332" s="31" t="s">
        <v>206</v>
      </c>
    </row>
    <row r="333" spans="2:22" ht="30">
      <c r="B333" s="263" t="s">
        <v>3145</v>
      </c>
      <c r="C333" s="263"/>
      <c r="D333" s="77" t="s">
        <v>3156</v>
      </c>
      <c r="E333" s="78">
        <v>41288</v>
      </c>
      <c r="F333" s="419" t="s">
        <v>3144</v>
      </c>
      <c r="G333" s="72" t="s">
        <v>5910</v>
      </c>
      <c r="H333" s="1103"/>
      <c r="I333" s="631"/>
      <c r="J333" s="632"/>
      <c r="L333" s="264">
        <v>2000</v>
      </c>
      <c r="M333" s="246"/>
      <c r="N333" s="264">
        <f t="shared" si="142"/>
        <v>2000</v>
      </c>
      <c r="O333" s="31"/>
      <c r="P333" s="647" t="s">
        <v>110</v>
      </c>
      <c r="Q333" s="1136" t="s">
        <v>105</v>
      </c>
      <c r="V333" s="31" t="s">
        <v>206</v>
      </c>
    </row>
    <row r="334" spans="2:22" ht="30">
      <c r="B334" s="263" t="s">
        <v>3145</v>
      </c>
      <c r="C334" s="263"/>
      <c r="D334" s="77" t="s">
        <v>3157</v>
      </c>
      <c r="E334" s="78">
        <v>41325</v>
      </c>
      <c r="F334" s="419" t="s">
        <v>3144</v>
      </c>
      <c r="G334" s="72" t="s">
        <v>5910</v>
      </c>
      <c r="H334" s="1103"/>
      <c r="I334" s="631"/>
      <c r="J334" s="632"/>
      <c r="L334" s="264">
        <v>2000</v>
      </c>
      <c r="M334" s="246"/>
      <c r="N334" s="264">
        <f t="shared" si="142"/>
        <v>2000</v>
      </c>
      <c r="O334" s="31"/>
      <c r="P334" s="647" t="s">
        <v>110</v>
      </c>
      <c r="Q334" s="1136" t="s">
        <v>105</v>
      </c>
      <c r="V334" s="31" t="s">
        <v>206</v>
      </c>
    </row>
    <row r="335" spans="2:22" ht="30">
      <c r="B335" s="263" t="s">
        <v>3145</v>
      </c>
      <c r="C335" s="263"/>
      <c r="D335" s="77" t="s">
        <v>3158</v>
      </c>
      <c r="E335" s="78">
        <v>41415</v>
      </c>
      <c r="F335" s="419" t="s">
        <v>3144</v>
      </c>
      <c r="G335" s="72" t="s">
        <v>5910</v>
      </c>
      <c r="H335" s="1103"/>
      <c r="I335" s="631"/>
      <c r="J335" s="632"/>
      <c r="L335" s="264">
        <v>1500</v>
      </c>
      <c r="M335" s="246"/>
      <c r="N335" s="264">
        <f t="shared" si="142"/>
        <v>1500</v>
      </c>
      <c r="O335" s="31"/>
      <c r="P335" s="647" t="s">
        <v>110</v>
      </c>
      <c r="Q335" s="1136" t="s">
        <v>105</v>
      </c>
      <c r="V335" s="31" t="s">
        <v>206</v>
      </c>
    </row>
    <row r="336" spans="2:22">
      <c r="B336" s="263"/>
      <c r="C336" s="263"/>
      <c r="D336" s="77"/>
      <c r="E336" s="78"/>
      <c r="F336" s="78"/>
      <c r="G336" s="265"/>
      <c r="H336" s="1103"/>
      <c r="I336" s="631"/>
      <c r="J336" s="632"/>
      <c r="K336" s="264"/>
      <c r="L336" s="246"/>
      <c r="M336" s="264"/>
      <c r="N336" s="31"/>
      <c r="V336" s="31"/>
    </row>
    <row r="337" spans="2:22" ht="60">
      <c r="B337" s="263" t="s">
        <v>3159</v>
      </c>
      <c r="C337" s="263"/>
      <c r="D337" s="77" t="s">
        <v>3160</v>
      </c>
      <c r="E337" s="78">
        <v>41348</v>
      </c>
      <c r="F337" s="78" t="s">
        <v>5911</v>
      </c>
      <c r="G337" s="72" t="s">
        <v>5912</v>
      </c>
      <c r="H337" s="1103"/>
      <c r="I337" s="631"/>
      <c r="J337" s="632"/>
      <c r="K337" s="478"/>
      <c r="L337" s="246">
        <v>1000</v>
      </c>
      <c r="M337" s="246"/>
      <c r="N337" s="246">
        <f t="shared" ref="N337" si="143">SUM(K337:M337)</f>
        <v>1000</v>
      </c>
      <c r="O337" s="31"/>
      <c r="P337" s="647" t="s">
        <v>110</v>
      </c>
      <c r="Q337" s="1136" t="s">
        <v>105</v>
      </c>
      <c r="V337" s="31" t="s">
        <v>217</v>
      </c>
    </row>
    <row r="339" spans="2:22" ht="60">
      <c r="B339" s="263" t="s">
        <v>3161</v>
      </c>
      <c r="C339" s="263"/>
      <c r="D339" s="182" t="s">
        <v>3162</v>
      </c>
      <c r="E339" s="419">
        <v>41250</v>
      </c>
      <c r="F339" s="419" t="s">
        <v>5913</v>
      </c>
      <c r="G339" s="1103" t="s">
        <v>5914</v>
      </c>
      <c r="H339" s="1103"/>
      <c r="I339" s="691">
        <v>96072</v>
      </c>
      <c r="J339" s="1224"/>
      <c r="L339" s="184">
        <v>2000</v>
      </c>
      <c r="M339" s="201"/>
      <c r="N339" s="201">
        <f t="shared" ref="N339:N378" si="144">SUM(K339:M339)</f>
        <v>2000</v>
      </c>
      <c r="O339" s="1179">
        <f t="shared" ref="O339:O343" si="145">N339+I339</f>
        <v>98072</v>
      </c>
      <c r="P339" s="647" t="s">
        <v>110</v>
      </c>
      <c r="Q339" s="1136" t="s">
        <v>105</v>
      </c>
      <c r="V339" s="31" t="s">
        <v>217</v>
      </c>
    </row>
    <row r="340" spans="2:22" ht="30">
      <c r="B340" s="263" t="s">
        <v>3163</v>
      </c>
      <c r="C340" s="263"/>
      <c r="D340" s="182" t="s">
        <v>3164</v>
      </c>
      <c r="E340" s="419">
        <v>41250</v>
      </c>
      <c r="F340" s="419" t="s">
        <v>5915</v>
      </c>
      <c r="G340" s="1103" t="s">
        <v>5916</v>
      </c>
      <c r="H340" s="1103"/>
      <c r="I340" s="691">
        <v>160785</v>
      </c>
      <c r="J340" s="1224"/>
      <c r="L340" s="184">
        <v>500</v>
      </c>
      <c r="M340" s="201"/>
      <c r="N340" s="201">
        <f t="shared" si="144"/>
        <v>500</v>
      </c>
      <c r="O340" s="1179">
        <f t="shared" si="145"/>
        <v>161285</v>
      </c>
      <c r="P340" s="647" t="s">
        <v>110</v>
      </c>
      <c r="Q340" s="1136" t="s">
        <v>105</v>
      </c>
      <c r="V340" s="31" t="s">
        <v>206</v>
      </c>
    </row>
    <row r="341" spans="2:22" ht="30">
      <c r="B341" s="263" t="s">
        <v>3165</v>
      </c>
      <c r="C341" s="263"/>
      <c r="D341" s="182" t="s">
        <v>3166</v>
      </c>
      <c r="E341" s="419">
        <v>41221</v>
      </c>
      <c r="F341" s="419" t="s">
        <v>5918</v>
      </c>
      <c r="G341" s="1103" t="s">
        <v>5917</v>
      </c>
      <c r="H341" s="1103"/>
      <c r="I341" s="691">
        <v>523622</v>
      </c>
      <c r="J341" s="1224"/>
      <c r="L341" s="184">
        <v>200</v>
      </c>
      <c r="M341" s="201"/>
      <c r="N341" s="201">
        <f t="shared" si="144"/>
        <v>200</v>
      </c>
      <c r="O341" s="1179">
        <f t="shared" si="145"/>
        <v>523822</v>
      </c>
      <c r="P341" s="647" t="s">
        <v>110</v>
      </c>
      <c r="Q341" s="1136" t="s">
        <v>105</v>
      </c>
      <c r="V341" s="31" t="s">
        <v>206</v>
      </c>
    </row>
    <row r="342" spans="2:22">
      <c r="B342" s="263"/>
      <c r="C342" s="263"/>
      <c r="D342" s="182"/>
      <c r="E342" s="419"/>
      <c r="F342" s="419"/>
      <c r="G342" s="1103"/>
      <c r="H342" s="1103"/>
      <c r="I342" s="691"/>
      <c r="J342" s="1224"/>
      <c r="L342" s="184"/>
      <c r="M342" s="201"/>
      <c r="N342" s="201"/>
      <c r="O342" s="1179"/>
      <c r="Q342" s="1179"/>
      <c r="V342" s="31"/>
    </row>
    <row r="343" spans="2:22">
      <c r="B343" s="263"/>
      <c r="C343" s="263"/>
      <c r="D343" s="182"/>
      <c r="E343" s="419"/>
      <c r="F343" s="419"/>
      <c r="G343" s="420"/>
      <c r="H343" s="1103"/>
      <c r="I343" s="691">
        <v>208377</v>
      </c>
      <c r="J343" s="1224"/>
      <c r="K343" s="1199"/>
      <c r="L343" s="294">
        <f>SUM(L344:L347)</f>
        <v>15500</v>
      </c>
      <c r="M343" s="294"/>
      <c r="N343" s="294">
        <f t="shared" ref="N343" si="146">SUM(N344:N347)</f>
        <v>15500</v>
      </c>
      <c r="O343" s="1179">
        <f t="shared" si="145"/>
        <v>223877</v>
      </c>
      <c r="Q343" s="1179"/>
      <c r="R343" s="294">
        <f t="shared" ref="R343:S343" si="147">SUM(R344:R347)</f>
        <v>0</v>
      </c>
      <c r="S343" s="294">
        <f t="shared" si="147"/>
        <v>0</v>
      </c>
      <c r="V343" s="31"/>
    </row>
    <row r="344" spans="2:22" ht="45">
      <c r="B344" s="263" t="s">
        <v>3168</v>
      </c>
      <c r="C344" s="263"/>
      <c r="D344" s="182" t="s">
        <v>3169</v>
      </c>
      <c r="E344" s="419">
        <v>41260</v>
      </c>
      <c r="F344" s="419" t="s">
        <v>3167</v>
      </c>
      <c r="G344" s="72" t="s">
        <v>5239</v>
      </c>
      <c r="H344" s="1103"/>
      <c r="I344" s="631"/>
      <c r="J344" s="632"/>
      <c r="L344" s="186">
        <v>5000</v>
      </c>
      <c r="M344" s="203"/>
      <c r="N344" s="203">
        <f t="shared" si="144"/>
        <v>5000</v>
      </c>
      <c r="O344" s="31"/>
      <c r="P344" s="647" t="s">
        <v>110</v>
      </c>
      <c r="Q344" s="1136" t="s">
        <v>105</v>
      </c>
      <c r="V344" s="31" t="s">
        <v>3098</v>
      </c>
    </row>
    <row r="345" spans="2:22" ht="45">
      <c r="B345" s="263" t="s">
        <v>3168</v>
      </c>
      <c r="C345" s="263"/>
      <c r="D345" s="182" t="s">
        <v>3170</v>
      </c>
      <c r="E345" s="419">
        <v>41263</v>
      </c>
      <c r="F345" s="419" t="s">
        <v>3167</v>
      </c>
      <c r="G345" s="72" t="s">
        <v>5239</v>
      </c>
      <c r="H345" s="1103"/>
      <c r="I345" s="631"/>
      <c r="J345" s="632"/>
      <c r="L345" s="186">
        <v>5000</v>
      </c>
      <c r="M345" s="203"/>
      <c r="N345" s="203">
        <f t="shared" si="144"/>
        <v>5000</v>
      </c>
      <c r="O345" s="31"/>
      <c r="P345" s="647" t="s">
        <v>110</v>
      </c>
      <c r="Q345" s="1136" t="s">
        <v>105</v>
      </c>
      <c r="V345" s="31" t="s">
        <v>3098</v>
      </c>
    </row>
    <row r="346" spans="2:22" ht="45">
      <c r="B346" s="263" t="s">
        <v>3171</v>
      </c>
      <c r="C346" s="263"/>
      <c r="D346" s="77" t="s">
        <v>3172</v>
      </c>
      <c r="E346" s="78">
        <v>41348</v>
      </c>
      <c r="F346" s="419" t="s">
        <v>3167</v>
      </c>
      <c r="G346" s="72" t="s">
        <v>5239</v>
      </c>
      <c r="H346" s="1103"/>
      <c r="I346" s="631"/>
      <c r="J346" s="632"/>
      <c r="L346" s="264">
        <v>2500</v>
      </c>
      <c r="M346" s="246"/>
      <c r="N346" s="264">
        <f>SUM(K346:M346)</f>
        <v>2500</v>
      </c>
      <c r="O346" s="31"/>
      <c r="P346" s="647" t="s">
        <v>110</v>
      </c>
      <c r="Q346" s="1136" t="s">
        <v>105</v>
      </c>
      <c r="V346" s="31" t="s">
        <v>3098</v>
      </c>
    </row>
    <row r="347" spans="2:22" ht="45">
      <c r="B347" s="263" t="s">
        <v>3168</v>
      </c>
      <c r="C347" s="263"/>
      <c r="D347" s="77" t="s">
        <v>3173</v>
      </c>
      <c r="E347" s="78">
        <v>41339</v>
      </c>
      <c r="F347" s="419" t="s">
        <v>3167</v>
      </c>
      <c r="G347" s="72" t="s">
        <v>5239</v>
      </c>
      <c r="H347" s="1103"/>
      <c r="I347" s="631"/>
      <c r="J347" s="632"/>
      <c r="L347" s="264">
        <v>3000</v>
      </c>
      <c r="M347" s="246"/>
      <c r="N347" s="264">
        <f>SUM(K347:M347)</f>
        <v>3000</v>
      </c>
      <c r="O347" s="31"/>
      <c r="P347" s="647" t="s">
        <v>110</v>
      </c>
      <c r="Q347" s="1136" t="s">
        <v>105</v>
      </c>
      <c r="V347" s="31" t="s">
        <v>3098</v>
      </c>
    </row>
    <row r="348" spans="2:22">
      <c r="B348" s="263"/>
      <c r="C348" s="263"/>
      <c r="D348" s="77"/>
      <c r="E348" s="78"/>
      <c r="F348" s="78"/>
      <c r="G348" s="1103"/>
      <c r="H348" s="1103"/>
      <c r="I348" s="1177"/>
      <c r="J348" s="1225"/>
      <c r="L348" s="264"/>
      <c r="M348" s="246"/>
      <c r="N348" s="264"/>
      <c r="O348" s="31"/>
      <c r="V348" s="31"/>
    </row>
    <row r="349" spans="2:22">
      <c r="B349" s="263"/>
      <c r="C349" s="263"/>
      <c r="D349" s="77"/>
      <c r="E349" s="78"/>
      <c r="F349" s="78"/>
      <c r="G349" s="420"/>
      <c r="H349" s="1103"/>
      <c r="I349" s="1177">
        <v>345768</v>
      </c>
      <c r="J349" s="1225"/>
      <c r="K349" s="1199"/>
      <c r="L349" s="247">
        <f>SUM(L350:L358)</f>
        <v>5228.1000000000004</v>
      </c>
      <c r="M349" s="247"/>
      <c r="N349" s="247">
        <f t="shared" ref="N349" si="148">SUM(N350:N358)</f>
        <v>5228.1000000000004</v>
      </c>
      <c r="O349" s="1179">
        <f t="shared" ref="O349" si="149">N349+I349</f>
        <v>350996.1</v>
      </c>
      <c r="Q349" s="1179"/>
      <c r="R349" s="247">
        <f t="shared" ref="R349:S349" si="150">SUM(R350:R358)</f>
        <v>0</v>
      </c>
      <c r="S349" s="247">
        <f t="shared" si="150"/>
        <v>0</v>
      </c>
      <c r="V349" s="31"/>
    </row>
    <row r="350" spans="2:22" ht="30">
      <c r="B350" s="263" t="s">
        <v>3175</v>
      </c>
      <c r="C350" s="263"/>
      <c r="D350" s="182" t="s">
        <v>3176</v>
      </c>
      <c r="E350" s="419">
        <v>41124</v>
      </c>
      <c r="F350" s="419" t="s">
        <v>3174</v>
      </c>
      <c r="G350" s="72" t="s">
        <v>5919</v>
      </c>
      <c r="H350" s="1103"/>
      <c r="I350" s="631"/>
      <c r="J350" s="632"/>
      <c r="L350" s="186">
        <v>1000</v>
      </c>
      <c r="M350" s="203"/>
      <c r="N350" s="203">
        <f t="shared" si="144"/>
        <v>1000</v>
      </c>
      <c r="O350" s="31"/>
      <c r="P350" s="647" t="s">
        <v>110</v>
      </c>
      <c r="Q350" s="1136" t="s">
        <v>105</v>
      </c>
      <c r="V350" s="31" t="s">
        <v>206</v>
      </c>
    </row>
    <row r="351" spans="2:22" ht="30">
      <c r="B351" s="263" t="s">
        <v>3175</v>
      </c>
      <c r="C351" s="263"/>
      <c r="D351" s="182" t="s">
        <v>3177</v>
      </c>
      <c r="E351" s="419">
        <v>41131</v>
      </c>
      <c r="F351" s="419" t="s">
        <v>3174</v>
      </c>
      <c r="G351" s="72" t="s">
        <v>5919</v>
      </c>
      <c r="H351" s="1103"/>
      <c r="I351" s="631"/>
      <c r="J351" s="632"/>
      <c r="L351" s="186">
        <v>300</v>
      </c>
      <c r="M351" s="203"/>
      <c r="N351" s="203">
        <f t="shared" si="144"/>
        <v>300</v>
      </c>
      <c r="O351" s="31"/>
      <c r="P351" s="647" t="s">
        <v>110</v>
      </c>
      <c r="Q351" s="1136" t="s">
        <v>105</v>
      </c>
      <c r="V351" s="31" t="s">
        <v>206</v>
      </c>
    </row>
    <row r="352" spans="2:22" ht="30">
      <c r="B352" s="263" t="s">
        <v>3175</v>
      </c>
      <c r="C352" s="263"/>
      <c r="D352" s="182" t="s">
        <v>3178</v>
      </c>
      <c r="E352" s="419">
        <v>41206</v>
      </c>
      <c r="F352" s="419" t="s">
        <v>3174</v>
      </c>
      <c r="G352" s="72" t="s">
        <v>5919</v>
      </c>
      <c r="H352" s="1103"/>
      <c r="I352" s="631"/>
      <c r="J352" s="632"/>
      <c r="L352" s="186">
        <v>53.1</v>
      </c>
      <c r="M352" s="203"/>
      <c r="N352" s="203">
        <f>SUM(K352:M352)</f>
        <v>53.1</v>
      </c>
      <c r="O352" s="31"/>
      <c r="P352" s="647" t="s">
        <v>110</v>
      </c>
      <c r="Q352" s="1136" t="s">
        <v>105</v>
      </c>
      <c r="V352" s="31" t="s">
        <v>206</v>
      </c>
    </row>
    <row r="353" spans="2:22" ht="30">
      <c r="B353" s="263" t="s">
        <v>3175</v>
      </c>
      <c r="C353" s="263"/>
      <c r="D353" s="182" t="s">
        <v>3179</v>
      </c>
      <c r="E353" s="419">
        <v>41221</v>
      </c>
      <c r="F353" s="419" t="s">
        <v>3174</v>
      </c>
      <c r="G353" s="72" t="s">
        <v>5919</v>
      </c>
      <c r="H353" s="1103"/>
      <c r="I353" s="631"/>
      <c r="J353" s="632"/>
      <c r="L353" s="186">
        <v>500</v>
      </c>
      <c r="M353" s="203"/>
      <c r="N353" s="203">
        <f t="shared" si="144"/>
        <v>500</v>
      </c>
      <c r="O353" s="31"/>
      <c r="P353" s="647" t="s">
        <v>110</v>
      </c>
      <c r="Q353" s="1136" t="s">
        <v>105</v>
      </c>
      <c r="V353" s="31" t="s">
        <v>206</v>
      </c>
    </row>
    <row r="354" spans="2:22" ht="30">
      <c r="B354" s="263" t="s">
        <v>3175</v>
      </c>
      <c r="C354" s="263"/>
      <c r="D354" s="182" t="s">
        <v>3180</v>
      </c>
      <c r="E354" s="419">
        <v>41250</v>
      </c>
      <c r="F354" s="419" t="s">
        <v>3174</v>
      </c>
      <c r="G354" s="72" t="s">
        <v>5919</v>
      </c>
      <c r="H354" s="1103"/>
      <c r="I354" s="631"/>
      <c r="J354" s="632"/>
      <c r="L354" s="186">
        <v>1000</v>
      </c>
      <c r="M354" s="203"/>
      <c r="N354" s="203">
        <f t="shared" si="144"/>
        <v>1000</v>
      </c>
      <c r="O354" s="31"/>
      <c r="P354" s="647" t="s">
        <v>110</v>
      </c>
      <c r="Q354" s="1136" t="s">
        <v>105</v>
      </c>
      <c r="V354" s="31" t="s">
        <v>206</v>
      </c>
    </row>
    <row r="355" spans="2:22" ht="30">
      <c r="B355" s="263" t="s">
        <v>3175</v>
      </c>
      <c r="C355" s="263"/>
      <c r="D355" s="182" t="s">
        <v>3181</v>
      </c>
      <c r="E355" s="419">
        <v>41250</v>
      </c>
      <c r="F355" s="419" t="s">
        <v>3174</v>
      </c>
      <c r="G355" s="72" t="s">
        <v>5919</v>
      </c>
      <c r="H355" s="1103"/>
      <c r="I355" s="631"/>
      <c r="J355" s="632"/>
      <c r="L355" s="186">
        <v>1000</v>
      </c>
      <c r="M355" s="203"/>
      <c r="N355" s="203">
        <f t="shared" si="144"/>
        <v>1000</v>
      </c>
      <c r="O355" s="31"/>
      <c r="P355" s="647" t="s">
        <v>110</v>
      </c>
      <c r="Q355" s="1136" t="s">
        <v>105</v>
      </c>
      <c r="V355" s="31" t="s">
        <v>206</v>
      </c>
    </row>
    <row r="356" spans="2:22" ht="30">
      <c r="B356" s="263" t="s">
        <v>3175</v>
      </c>
      <c r="C356" s="263"/>
      <c r="D356" s="182" t="s">
        <v>3182</v>
      </c>
      <c r="E356" s="419">
        <v>41250</v>
      </c>
      <c r="F356" s="419" t="s">
        <v>3174</v>
      </c>
      <c r="G356" s="72" t="s">
        <v>5919</v>
      </c>
      <c r="H356" s="1103"/>
      <c r="I356" s="631"/>
      <c r="J356" s="632"/>
      <c r="L356" s="186">
        <v>300</v>
      </c>
      <c r="M356" s="203"/>
      <c r="N356" s="203">
        <f t="shared" si="144"/>
        <v>300</v>
      </c>
      <c r="O356" s="31"/>
      <c r="P356" s="647" t="s">
        <v>110</v>
      </c>
      <c r="Q356" s="1136" t="s">
        <v>105</v>
      </c>
      <c r="V356" s="31" t="s">
        <v>206</v>
      </c>
    </row>
    <row r="357" spans="2:22" ht="30">
      <c r="B357" s="263" t="s">
        <v>3175</v>
      </c>
      <c r="C357" s="263"/>
      <c r="D357" s="182" t="s">
        <v>3183</v>
      </c>
      <c r="E357" s="419">
        <v>41250</v>
      </c>
      <c r="F357" s="419" t="s">
        <v>3174</v>
      </c>
      <c r="G357" s="72" t="s">
        <v>5919</v>
      </c>
      <c r="H357" s="1103"/>
      <c r="I357" s="631"/>
      <c r="J357" s="632"/>
      <c r="L357" s="186">
        <v>1000</v>
      </c>
      <c r="M357" s="203"/>
      <c r="N357" s="203">
        <f t="shared" si="144"/>
        <v>1000</v>
      </c>
      <c r="O357" s="31"/>
      <c r="P357" s="647" t="s">
        <v>110</v>
      </c>
      <c r="Q357" s="1136" t="s">
        <v>105</v>
      </c>
      <c r="V357" s="31" t="s">
        <v>206</v>
      </c>
    </row>
    <row r="358" spans="2:22" ht="30">
      <c r="B358" s="263" t="s">
        <v>3175</v>
      </c>
      <c r="C358" s="263"/>
      <c r="D358" s="77" t="s">
        <v>3184</v>
      </c>
      <c r="E358" s="78">
        <v>41341</v>
      </c>
      <c r="F358" s="419" t="s">
        <v>3174</v>
      </c>
      <c r="G358" s="72" t="s">
        <v>5919</v>
      </c>
      <c r="H358" s="1103"/>
      <c r="I358" s="631"/>
      <c r="J358" s="632"/>
      <c r="L358" s="264">
        <v>75</v>
      </c>
      <c r="M358" s="246"/>
      <c r="N358" s="264">
        <f>SUM(K358:M358)</f>
        <v>75</v>
      </c>
      <c r="O358" s="31"/>
      <c r="P358" s="647" t="s">
        <v>110</v>
      </c>
      <c r="Q358" s="1136" t="s">
        <v>105</v>
      </c>
      <c r="V358" s="31" t="s">
        <v>206</v>
      </c>
    </row>
    <row r="359" spans="2:22">
      <c r="B359" s="263"/>
      <c r="C359" s="263"/>
      <c r="D359" s="77"/>
      <c r="E359" s="78"/>
      <c r="F359" s="78"/>
      <c r="G359" s="1103"/>
      <c r="H359" s="1103"/>
      <c r="I359" s="1177"/>
      <c r="J359" s="1225"/>
      <c r="L359" s="264"/>
      <c r="M359" s="246"/>
      <c r="N359" s="264"/>
      <c r="O359" s="31"/>
      <c r="V359" s="31"/>
    </row>
    <row r="360" spans="2:22">
      <c r="B360" s="263"/>
      <c r="C360" s="263"/>
      <c r="D360" s="77"/>
      <c r="E360" s="78"/>
      <c r="F360" s="78"/>
      <c r="G360" s="420"/>
      <c r="H360" s="1103"/>
      <c r="I360" s="1177">
        <v>198320</v>
      </c>
      <c r="J360" s="1225"/>
      <c r="K360" s="1199"/>
      <c r="L360" s="247">
        <f>L361+L362+L363</f>
        <v>1500</v>
      </c>
      <c r="M360" s="247"/>
      <c r="N360" s="247">
        <f t="shared" ref="N360" si="151">N361+N362+N363</f>
        <v>1500</v>
      </c>
      <c r="O360" s="1179">
        <f t="shared" ref="O360" si="152">N360+I360</f>
        <v>199820</v>
      </c>
      <c r="Q360" s="1179"/>
      <c r="R360" s="247">
        <f t="shared" ref="R360:S360" si="153">R361+R362+R363</f>
        <v>0</v>
      </c>
      <c r="S360" s="247">
        <f t="shared" si="153"/>
        <v>0</v>
      </c>
      <c r="V360" s="31"/>
    </row>
    <row r="361" spans="2:22" ht="30">
      <c r="B361" s="263" t="s">
        <v>3186</v>
      </c>
      <c r="C361" s="263"/>
      <c r="D361" s="182" t="s">
        <v>3187</v>
      </c>
      <c r="E361" s="419">
        <v>41127</v>
      </c>
      <c r="F361" s="419" t="s">
        <v>3185</v>
      </c>
      <c r="G361" s="72" t="s">
        <v>5920</v>
      </c>
      <c r="H361" s="1103"/>
      <c r="I361" s="631"/>
      <c r="J361" s="632"/>
      <c r="L361" s="186">
        <v>500</v>
      </c>
      <c r="M361" s="203"/>
      <c r="N361" s="203">
        <f t="shared" si="144"/>
        <v>500</v>
      </c>
      <c r="O361" s="31"/>
      <c r="P361" s="647" t="s">
        <v>110</v>
      </c>
      <c r="Q361" s="1136" t="s">
        <v>105</v>
      </c>
      <c r="V361" s="31" t="s">
        <v>206</v>
      </c>
    </row>
    <row r="362" spans="2:22" ht="30">
      <c r="B362" s="263" t="s">
        <v>3186</v>
      </c>
      <c r="C362" s="263"/>
      <c r="D362" s="182" t="s">
        <v>3188</v>
      </c>
      <c r="E362" s="419">
        <v>41134</v>
      </c>
      <c r="F362" s="419" t="s">
        <v>3185</v>
      </c>
      <c r="G362" s="72" t="s">
        <v>5920</v>
      </c>
      <c r="H362" s="1103"/>
      <c r="I362" s="631"/>
      <c r="J362" s="632"/>
      <c r="L362" s="186">
        <v>500</v>
      </c>
      <c r="M362" s="203"/>
      <c r="N362" s="203">
        <f t="shared" si="144"/>
        <v>500</v>
      </c>
      <c r="O362" s="31"/>
      <c r="P362" s="647" t="s">
        <v>110</v>
      </c>
      <c r="Q362" s="1136" t="s">
        <v>105</v>
      </c>
      <c r="V362" s="31" t="s">
        <v>206</v>
      </c>
    </row>
    <row r="363" spans="2:22" ht="30">
      <c r="B363" s="263" t="s">
        <v>3186</v>
      </c>
      <c r="C363" s="263"/>
      <c r="D363" s="182" t="s">
        <v>3189</v>
      </c>
      <c r="E363" s="419">
        <v>41250</v>
      </c>
      <c r="F363" s="419" t="s">
        <v>3185</v>
      </c>
      <c r="G363" s="72" t="s">
        <v>5920</v>
      </c>
      <c r="H363" s="1103"/>
      <c r="I363" s="631"/>
      <c r="J363" s="632"/>
      <c r="L363" s="186">
        <v>500</v>
      </c>
      <c r="M363" s="203"/>
      <c r="N363" s="203">
        <f t="shared" si="144"/>
        <v>500</v>
      </c>
      <c r="O363" s="31"/>
      <c r="P363" s="647" t="s">
        <v>110</v>
      </c>
      <c r="Q363" s="1136" t="s">
        <v>105</v>
      </c>
      <c r="V363" s="31" t="s">
        <v>206</v>
      </c>
    </row>
    <row r="364" spans="2:22">
      <c r="B364" s="263"/>
      <c r="C364" s="263"/>
      <c r="D364" s="182"/>
      <c r="E364" s="419"/>
      <c r="F364" s="419"/>
      <c r="G364" s="1103"/>
      <c r="H364" s="1103"/>
      <c r="I364" s="631"/>
      <c r="J364" s="632"/>
      <c r="L364" s="186"/>
      <c r="M364" s="203"/>
      <c r="N364" s="203"/>
      <c r="O364" s="31"/>
      <c r="V364" s="31"/>
    </row>
    <row r="365" spans="2:22">
      <c r="B365" s="263"/>
      <c r="C365" s="263"/>
      <c r="D365" s="182"/>
      <c r="E365" s="419"/>
      <c r="F365" s="419"/>
      <c r="G365" s="420"/>
      <c r="H365" s="1103"/>
      <c r="I365" s="631">
        <v>142382</v>
      </c>
      <c r="J365" s="632"/>
      <c r="K365" s="1199"/>
      <c r="L365" s="294">
        <f>SUM(L366:L373)</f>
        <v>40950</v>
      </c>
      <c r="M365" s="294"/>
      <c r="N365" s="294">
        <f t="shared" ref="N365" si="154">SUM(N366:N373)</f>
        <v>40950</v>
      </c>
      <c r="O365" s="1179">
        <f t="shared" ref="O365" si="155">N365+I365</f>
        <v>183332</v>
      </c>
      <c r="Q365" s="1179"/>
      <c r="R365" s="294">
        <f t="shared" ref="R365:S365" si="156">SUM(R366:R373)</f>
        <v>0</v>
      </c>
      <c r="S365" s="294">
        <f t="shared" si="156"/>
        <v>0</v>
      </c>
      <c r="V365" s="31"/>
    </row>
    <row r="366" spans="2:22" ht="30">
      <c r="B366" s="263" t="s">
        <v>3191</v>
      </c>
      <c r="C366" s="263"/>
      <c r="D366" s="182" t="s">
        <v>3192</v>
      </c>
      <c r="E366" s="419">
        <v>41191</v>
      </c>
      <c r="F366" s="419" t="s">
        <v>5921</v>
      </c>
      <c r="G366" s="72" t="s">
        <v>5922</v>
      </c>
      <c r="H366" s="1103"/>
      <c r="I366" s="631"/>
      <c r="J366" s="632"/>
      <c r="L366" s="186">
        <v>2000</v>
      </c>
      <c r="M366" s="203"/>
      <c r="N366" s="203">
        <f t="shared" si="144"/>
        <v>2000</v>
      </c>
      <c r="O366" s="31"/>
      <c r="P366" s="647" t="s">
        <v>110</v>
      </c>
      <c r="Q366" s="1136" t="s">
        <v>105</v>
      </c>
      <c r="V366" s="31" t="s">
        <v>217</v>
      </c>
    </row>
    <row r="367" spans="2:22" ht="30">
      <c r="B367" s="263" t="s">
        <v>3191</v>
      </c>
      <c r="C367" s="263"/>
      <c r="D367" s="182" t="s">
        <v>3193</v>
      </c>
      <c r="E367" s="419">
        <v>41236</v>
      </c>
      <c r="F367" s="419" t="s">
        <v>5921</v>
      </c>
      <c r="G367" s="72" t="s">
        <v>5922</v>
      </c>
      <c r="H367" s="1103"/>
      <c r="I367" s="631"/>
      <c r="J367" s="632"/>
      <c r="L367" s="186">
        <v>5000</v>
      </c>
      <c r="M367" s="203"/>
      <c r="N367" s="203">
        <f t="shared" si="144"/>
        <v>5000</v>
      </c>
      <c r="O367" s="31"/>
      <c r="P367" s="647" t="s">
        <v>110</v>
      </c>
      <c r="Q367" s="1136" t="s">
        <v>105</v>
      </c>
      <c r="V367" s="31" t="s">
        <v>217</v>
      </c>
    </row>
    <row r="368" spans="2:22" ht="30">
      <c r="B368" s="263" t="s">
        <v>3191</v>
      </c>
      <c r="C368" s="263"/>
      <c r="D368" s="182" t="s">
        <v>3194</v>
      </c>
      <c r="E368" s="419">
        <v>41250</v>
      </c>
      <c r="F368" s="419" t="s">
        <v>5921</v>
      </c>
      <c r="G368" s="72" t="s">
        <v>5922</v>
      </c>
      <c r="H368" s="1103"/>
      <c r="I368" s="631"/>
      <c r="J368" s="632"/>
      <c r="L368" s="186">
        <v>250</v>
      </c>
      <c r="M368" s="203"/>
      <c r="N368" s="203">
        <f t="shared" si="144"/>
        <v>250</v>
      </c>
      <c r="O368" s="31"/>
      <c r="P368" s="647" t="s">
        <v>110</v>
      </c>
      <c r="Q368" s="1136" t="s">
        <v>105</v>
      </c>
      <c r="V368" s="31" t="s">
        <v>217</v>
      </c>
    </row>
    <row r="369" spans="2:22" ht="30">
      <c r="B369" s="263" t="s">
        <v>3195</v>
      </c>
      <c r="C369" s="263"/>
      <c r="D369" s="77" t="s">
        <v>3196</v>
      </c>
      <c r="E369" s="78">
        <v>41305</v>
      </c>
      <c r="F369" s="78" t="s">
        <v>5921</v>
      </c>
      <c r="G369" s="72" t="s">
        <v>5923</v>
      </c>
      <c r="H369" s="1103"/>
      <c r="I369" s="631"/>
      <c r="J369" s="632"/>
      <c r="L369" s="264">
        <v>2000</v>
      </c>
      <c r="M369" s="246"/>
      <c r="N369" s="264">
        <f>SUM(K369:M369)</f>
        <v>2000</v>
      </c>
      <c r="O369" s="31"/>
      <c r="P369" s="647" t="s">
        <v>110</v>
      </c>
      <c r="Q369" s="1136" t="s">
        <v>105</v>
      </c>
      <c r="V369" s="31" t="s">
        <v>217</v>
      </c>
    </row>
    <row r="370" spans="2:22" ht="30">
      <c r="B370" s="263" t="s">
        <v>3195</v>
      </c>
      <c r="C370" s="263"/>
      <c r="D370" s="77" t="s">
        <v>3197</v>
      </c>
      <c r="E370" s="78">
        <v>41339</v>
      </c>
      <c r="F370" s="78" t="s">
        <v>5921</v>
      </c>
      <c r="G370" s="72" t="s">
        <v>5923</v>
      </c>
      <c r="H370" s="1103"/>
      <c r="I370" s="631"/>
      <c r="J370" s="632"/>
      <c r="L370" s="264">
        <v>5000</v>
      </c>
      <c r="M370" s="246"/>
      <c r="N370" s="264">
        <f>SUM(K370:M370)</f>
        <v>5000</v>
      </c>
      <c r="O370" s="31"/>
      <c r="P370" s="647" t="s">
        <v>110</v>
      </c>
      <c r="Q370" s="1136" t="s">
        <v>105</v>
      </c>
      <c r="V370" s="31" t="s">
        <v>217</v>
      </c>
    </row>
    <row r="371" spans="2:22" ht="30">
      <c r="B371" s="263" t="s">
        <v>3195</v>
      </c>
      <c r="C371" s="263"/>
      <c r="D371" s="77" t="s">
        <v>3198</v>
      </c>
      <c r="E371" s="78">
        <v>41347</v>
      </c>
      <c r="F371" s="78" t="s">
        <v>5921</v>
      </c>
      <c r="G371" s="72" t="s">
        <v>5923</v>
      </c>
      <c r="H371" s="1103"/>
      <c r="I371" s="631"/>
      <c r="J371" s="632"/>
      <c r="L371" s="264">
        <v>1000</v>
      </c>
      <c r="M371" s="246"/>
      <c r="N371" s="264">
        <f>SUM(K371:M371)</f>
        <v>1000</v>
      </c>
      <c r="O371" s="31"/>
      <c r="P371" s="647" t="s">
        <v>110</v>
      </c>
      <c r="Q371" s="1136" t="s">
        <v>105</v>
      </c>
      <c r="V371" s="31" t="s">
        <v>217</v>
      </c>
    </row>
    <row r="372" spans="2:22" ht="30">
      <c r="B372" s="263" t="s">
        <v>3195</v>
      </c>
      <c r="C372" s="263"/>
      <c r="D372" s="77" t="s">
        <v>3199</v>
      </c>
      <c r="E372" s="78">
        <v>41415</v>
      </c>
      <c r="F372" s="78" t="s">
        <v>5921</v>
      </c>
      <c r="G372" s="72" t="s">
        <v>5923</v>
      </c>
      <c r="H372" s="1103"/>
      <c r="I372" s="631"/>
      <c r="J372" s="632"/>
      <c r="L372" s="264">
        <v>10000</v>
      </c>
      <c r="M372" s="246"/>
      <c r="N372" s="264">
        <f>SUM(K372:M372)</f>
        <v>10000</v>
      </c>
      <c r="O372" s="31"/>
      <c r="P372" s="647" t="s">
        <v>110</v>
      </c>
      <c r="Q372" s="1136" t="s">
        <v>105</v>
      </c>
      <c r="V372" s="31" t="s">
        <v>217</v>
      </c>
    </row>
    <row r="373" spans="2:22" ht="30">
      <c r="B373" s="263" t="s">
        <v>3195</v>
      </c>
      <c r="C373" s="263"/>
      <c r="D373" s="77" t="s">
        <v>3200</v>
      </c>
      <c r="E373" s="78">
        <v>41453</v>
      </c>
      <c r="F373" s="78" t="s">
        <v>5921</v>
      </c>
      <c r="G373" s="72" t="s">
        <v>5923</v>
      </c>
      <c r="H373" s="1103"/>
      <c r="I373" s="631"/>
      <c r="J373" s="632"/>
      <c r="L373" s="264">
        <v>15700</v>
      </c>
      <c r="M373" s="246"/>
      <c r="N373" s="264">
        <f>SUM(K373:M373)</f>
        <v>15700</v>
      </c>
      <c r="O373" s="31"/>
      <c r="P373" s="647" t="s">
        <v>110</v>
      </c>
      <c r="Q373" s="1136" t="s">
        <v>105</v>
      </c>
      <c r="V373" s="31" t="s">
        <v>217</v>
      </c>
    </row>
    <row r="374" spans="2:22">
      <c r="B374" s="263"/>
      <c r="C374" s="263"/>
      <c r="D374" s="77"/>
      <c r="E374" s="78"/>
      <c r="F374" s="78"/>
      <c r="G374" s="265"/>
      <c r="H374" s="1103"/>
      <c r="I374" s="631"/>
      <c r="J374" s="632"/>
      <c r="L374" s="264"/>
      <c r="M374" s="246"/>
      <c r="N374" s="264"/>
      <c r="O374" s="31"/>
      <c r="V374" s="31"/>
    </row>
    <row r="375" spans="2:22">
      <c r="B375" s="263"/>
      <c r="C375" s="263"/>
      <c r="D375" s="77"/>
      <c r="E375" s="78"/>
      <c r="F375" s="78"/>
      <c r="G375" s="420"/>
      <c r="H375" s="1103"/>
      <c r="I375" s="631">
        <v>315681</v>
      </c>
      <c r="J375" s="632"/>
      <c r="K375" s="1199"/>
      <c r="L375" s="247">
        <f>SUM(L376:L380)</f>
        <v>2400</v>
      </c>
      <c r="M375" s="247"/>
      <c r="N375" s="247">
        <f t="shared" ref="N375" si="157">SUM(N376:N380)</f>
        <v>2400</v>
      </c>
      <c r="O375" s="1179">
        <f t="shared" ref="O375" si="158">N375+I375</f>
        <v>318081</v>
      </c>
      <c r="Q375" s="1179"/>
      <c r="R375" s="247">
        <f t="shared" ref="R375:S375" si="159">SUM(R376:R380)</f>
        <v>0</v>
      </c>
      <c r="S375" s="247">
        <f t="shared" si="159"/>
        <v>0</v>
      </c>
      <c r="V375" s="31"/>
    </row>
    <row r="376" spans="2:22" ht="30">
      <c r="B376" s="263" t="s">
        <v>218</v>
      </c>
      <c r="C376" s="263"/>
      <c r="D376" s="182" t="s">
        <v>3202</v>
      </c>
      <c r="E376" s="419">
        <v>41121</v>
      </c>
      <c r="F376" s="419" t="s">
        <v>5743</v>
      </c>
      <c r="G376" s="72" t="s">
        <v>5924</v>
      </c>
      <c r="H376" s="1103"/>
      <c r="I376" s="631"/>
      <c r="J376" s="632"/>
      <c r="L376" s="186">
        <v>500</v>
      </c>
      <c r="M376" s="203"/>
      <c r="N376" s="203">
        <f t="shared" si="144"/>
        <v>500</v>
      </c>
      <c r="O376" s="31"/>
      <c r="P376" s="647" t="s">
        <v>110</v>
      </c>
      <c r="Q376" s="1136" t="s">
        <v>105</v>
      </c>
      <c r="V376" s="31" t="s">
        <v>206</v>
      </c>
    </row>
    <row r="377" spans="2:22" ht="30">
      <c r="B377" s="263" t="s">
        <v>218</v>
      </c>
      <c r="C377" s="263"/>
      <c r="D377" s="182" t="s">
        <v>3203</v>
      </c>
      <c r="E377" s="419">
        <v>41204</v>
      </c>
      <c r="F377" s="419" t="s">
        <v>5743</v>
      </c>
      <c r="G377" s="72" t="s">
        <v>5924</v>
      </c>
      <c r="H377" s="1103"/>
      <c r="I377" s="631"/>
      <c r="J377" s="632"/>
      <c r="L377" s="186">
        <v>100</v>
      </c>
      <c r="M377" s="203"/>
      <c r="N377" s="203">
        <f t="shared" si="144"/>
        <v>100</v>
      </c>
      <c r="O377" s="31"/>
      <c r="P377" s="647" t="s">
        <v>110</v>
      </c>
      <c r="Q377" s="1136" t="s">
        <v>105</v>
      </c>
      <c r="V377" s="31" t="s">
        <v>206</v>
      </c>
    </row>
    <row r="378" spans="2:22" ht="30">
      <c r="B378" s="263" t="s">
        <v>218</v>
      </c>
      <c r="C378" s="263"/>
      <c r="D378" s="182" t="s">
        <v>3204</v>
      </c>
      <c r="E378" s="419">
        <v>41250</v>
      </c>
      <c r="F378" s="419" t="s">
        <v>5743</v>
      </c>
      <c r="G378" s="72" t="s">
        <v>5924</v>
      </c>
      <c r="H378" s="1103"/>
      <c r="I378" s="631"/>
      <c r="J378" s="632"/>
      <c r="L378" s="186">
        <v>1000</v>
      </c>
      <c r="M378" s="203"/>
      <c r="N378" s="203">
        <f t="shared" si="144"/>
        <v>1000</v>
      </c>
      <c r="O378" s="31"/>
      <c r="P378" s="647" t="s">
        <v>110</v>
      </c>
      <c r="Q378" s="1136" t="s">
        <v>105</v>
      </c>
      <c r="V378" s="31" t="s">
        <v>206</v>
      </c>
    </row>
    <row r="379" spans="2:22" ht="30">
      <c r="B379" s="263" t="s">
        <v>218</v>
      </c>
      <c r="C379" s="263"/>
      <c r="D379" s="77" t="s">
        <v>3205</v>
      </c>
      <c r="E379" s="78">
        <v>41284</v>
      </c>
      <c r="F379" s="419" t="s">
        <v>5743</v>
      </c>
      <c r="G379" s="72" t="s">
        <v>5924</v>
      </c>
      <c r="H379" s="1103"/>
      <c r="I379" s="631"/>
      <c r="J379" s="632"/>
      <c r="L379" s="264">
        <v>300</v>
      </c>
      <c r="M379" s="246"/>
      <c r="N379" s="264">
        <f>SUM(K379:M379)</f>
        <v>300</v>
      </c>
      <c r="O379" s="31"/>
      <c r="P379" s="647" t="s">
        <v>110</v>
      </c>
      <c r="Q379" s="1136" t="s">
        <v>105</v>
      </c>
      <c r="V379" s="31" t="s">
        <v>206</v>
      </c>
    </row>
    <row r="380" spans="2:22" ht="30">
      <c r="B380" s="263" t="s">
        <v>218</v>
      </c>
      <c r="C380" s="263"/>
      <c r="D380" s="77" t="s">
        <v>3206</v>
      </c>
      <c r="E380" s="78">
        <v>41415</v>
      </c>
      <c r="F380" s="419" t="s">
        <v>5743</v>
      </c>
      <c r="G380" s="72" t="s">
        <v>5924</v>
      </c>
      <c r="H380" s="1103"/>
      <c r="I380" s="631"/>
      <c r="J380" s="632"/>
      <c r="L380" s="264">
        <v>500</v>
      </c>
      <c r="M380" s="246"/>
      <c r="N380" s="264">
        <f>SUM(K380:M380)</f>
        <v>500</v>
      </c>
      <c r="O380" s="31"/>
      <c r="P380" s="647" t="s">
        <v>110</v>
      </c>
      <c r="Q380" s="1136" t="s">
        <v>105</v>
      </c>
      <c r="V380" s="31" t="s">
        <v>206</v>
      </c>
    </row>
    <row r="381" spans="2:22">
      <c r="L381" s="186"/>
      <c r="M381" s="186"/>
      <c r="N381" s="186"/>
      <c r="O381" s="328"/>
      <c r="Q381" s="328"/>
    </row>
    <row r="382" spans="2:22" ht="30">
      <c r="B382" s="263" t="s">
        <v>3207</v>
      </c>
      <c r="C382" s="263"/>
      <c r="D382" s="182" t="s">
        <v>3208</v>
      </c>
      <c r="E382" s="419">
        <v>41121</v>
      </c>
      <c r="F382" s="419" t="s">
        <v>5926</v>
      </c>
      <c r="G382" s="1103" t="s">
        <v>5925</v>
      </c>
      <c r="H382" s="1103"/>
      <c r="I382" s="691">
        <v>16619</v>
      </c>
      <c r="J382" s="1224"/>
      <c r="L382" s="184">
        <v>500</v>
      </c>
      <c r="M382" s="201"/>
      <c r="N382" s="201">
        <f t="shared" ref="N382:N410" si="160">SUM(K382:M382)</f>
        <v>500</v>
      </c>
      <c r="O382" s="31"/>
      <c r="P382" s="647" t="s">
        <v>110</v>
      </c>
      <c r="Q382" s="1136" t="s">
        <v>105</v>
      </c>
      <c r="V382" s="31" t="s">
        <v>217</v>
      </c>
    </row>
    <row r="383" spans="2:22">
      <c r="B383" s="263"/>
      <c r="C383" s="263"/>
      <c r="D383" s="182"/>
      <c r="E383" s="419"/>
      <c r="F383" s="419"/>
      <c r="G383" s="1103"/>
      <c r="H383" s="1103"/>
      <c r="I383" s="691"/>
      <c r="J383" s="1224"/>
      <c r="L383" s="184"/>
      <c r="M383" s="201"/>
      <c r="N383" s="201"/>
      <c r="O383" s="31"/>
      <c r="V383" s="31"/>
    </row>
    <row r="384" spans="2:22">
      <c r="B384" s="263"/>
      <c r="C384" s="263"/>
      <c r="D384" s="182"/>
      <c r="E384" s="419"/>
      <c r="F384" s="419"/>
      <c r="G384" s="420"/>
      <c r="H384" s="1103"/>
      <c r="I384" s="691">
        <v>262460</v>
      </c>
      <c r="J384" s="1224"/>
      <c r="K384" s="1199"/>
      <c r="L384" s="294">
        <f>SUM(L385:L388)</f>
        <v>13500</v>
      </c>
      <c r="M384" s="294"/>
      <c r="N384" s="294">
        <f t="shared" ref="N384" si="161">SUM(N385:N388)</f>
        <v>13500</v>
      </c>
      <c r="O384" s="1179">
        <f t="shared" ref="O384" si="162">N384+I384</f>
        <v>275960</v>
      </c>
      <c r="Q384" s="1179"/>
      <c r="R384" s="294">
        <f t="shared" ref="R384:S384" si="163">SUM(R385:R388)</f>
        <v>0</v>
      </c>
      <c r="S384" s="294">
        <f t="shared" si="163"/>
        <v>0</v>
      </c>
      <c r="V384" s="31"/>
    </row>
    <row r="385" spans="2:22" ht="45">
      <c r="B385" s="263" t="s">
        <v>3210</v>
      </c>
      <c r="C385" s="263"/>
      <c r="D385" s="182" t="s">
        <v>3211</v>
      </c>
      <c r="E385" s="419">
        <v>41271</v>
      </c>
      <c r="F385" s="419" t="s">
        <v>3209</v>
      </c>
      <c r="G385" s="72" t="s">
        <v>5927</v>
      </c>
      <c r="H385" s="1103"/>
      <c r="I385" s="631"/>
      <c r="J385" s="632"/>
      <c r="L385" s="186">
        <v>10000</v>
      </c>
      <c r="M385" s="203"/>
      <c r="N385" s="203">
        <f t="shared" si="160"/>
        <v>10000</v>
      </c>
      <c r="O385" s="31"/>
      <c r="P385" s="647" t="s">
        <v>110</v>
      </c>
      <c r="Q385" s="1136" t="s">
        <v>105</v>
      </c>
      <c r="V385" s="31" t="s">
        <v>3098</v>
      </c>
    </row>
    <row r="386" spans="2:22" ht="45">
      <c r="B386" s="263" t="s">
        <v>3210</v>
      </c>
      <c r="C386" s="263"/>
      <c r="D386" s="182" t="s">
        <v>3212</v>
      </c>
      <c r="E386" s="419">
        <v>41124</v>
      </c>
      <c r="F386" s="419" t="s">
        <v>3209</v>
      </c>
      <c r="G386" s="72" t="s">
        <v>5927</v>
      </c>
      <c r="H386" s="1103"/>
      <c r="I386" s="631"/>
      <c r="J386" s="632"/>
      <c r="L386" s="186">
        <v>1000</v>
      </c>
      <c r="M386" s="203"/>
      <c r="N386" s="203">
        <f>SUM(K386:M386)</f>
        <v>1000</v>
      </c>
      <c r="O386" s="31"/>
      <c r="P386" s="647" t="s">
        <v>110</v>
      </c>
      <c r="Q386" s="1136" t="s">
        <v>105</v>
      </c>
      <c r="V386" s="31" t="s">
        <v>3098</v>
      </c>
    </row>
    <row r="387" spans="2:22" ht="45">
      <c r="B387" s="263" t="s">
        <v>3210</v>
      </c>
      <c r="C387" s="263"/>
      <c r="D387" s="182" t="s">
        <v>3213</v>
      </c>
      <c r="E387" s="419">
        <v>41250</v>
      </c>
      <c r="F387" s="419" t="s">
        <v>3209</v>
      </c>
      <c r="G387" s="72" t="s">
        <v>5927</v>
      </c>
      <c r="H387" s="1103"/>
      <c r="I387" s="631"/>
      <c r="J387" s="632"/>
      <c r="L387" s="186">
        <v>500</v>
      </c>
      <c r="M387" s="203"/>
      <c r="N387" s="203">
        <f>SUM(K387:M387)</f>
        <v>500</v>
      </c>
      <c r="O387" s="31"/>
      <c r="P387" s="647" t="s">
        <v>110</v>
      </c>
      <c r="Q387" s="1136" t="s">
        <v>105</v>
      </c>
      <c r="V387" s="31" t="s">
        <v>3098</v>
      </c>
    </row>
    <row r="388" spans="2:22" ht="45">
      <c r="B388" s="263" t="s">
        <v>3210</v>
      </c>
      <c r="C388" s="263"/>
      <c r="D388" s="77" t="s">
        <v>3214</v>
      </c>
      <c r="E388" s="78">
        <v>41347</v>
      </c>
      <c r="F388" s="419" t="s">
        <v>3209</v>
      </c>
      <c r="G388" s="72" t="s">
        <v>5927</v>
      </c>
      <c r="H388" s="1103"/>
      <c r="I388" s="631"/>
      <c r="J388" s="632"/>
      <c r="L388" s="264">
        <v>2000</v>
      </c>
      <c r="M388" s="246"/>
      <c r="N388" s="264">
        <f>SUM(K388:M388)</f>
        <v>2000</v>
      </c>
      <c r="O388" s="31"/>
      <c r="P388" s="647" t="s">
        <v>110</v>
      </c>
      <c r="Q388" s="1136" t="s">
        <v>105</v>
      </c>
      <c r="V388" s="31" t="s">
        <v>3098</v>
      </c>
    </row>
    <row r="389" spans="2:22">
      <c r="B389" s="263"/>
      <c r="C389" s="263"/>
      <c r="D389" s="77"/>
      <c r="E389" s="78"/>
      <c r="F389" s="78"/>
      <c r="G389" s="1103"/>
      <c r="H389" s="1103"/>
      <c r="I389" s="1177"/>
      <c r="J389" s="1225"/>
      <c r="L389" s="264"/>
      <c r="M389" s="246"/>
      <c r="N389" s="264"/>
      <c r="O389" s="31"/>
      <c r="V389" s="31"/>
    </row>
    <row r="390" spans="2:22" ht="30">
      <c r="B390" s="263" t="s">
        <v>3215</v>
      </c>
      <c r="C390" s="263"/>
      <c r="D390" s="182" t="s">
        <v>3216</v>
      </c>
      <c r="E390" s="419">
        <v>41121</v>
      </c>
      <c r="F390" s="419" t="s">
        <v>5928</v>
      </c>
      <c r="G390" s="72" t="s">
        <v>5929</v>
      </c>
      <c r="H390" s="1103"/>
      <c r="I390" s="691">
        <v>138316</v>
      </c>
      <c r="J390" s="1224"/>
      <c r="L390" s="184">
        <v>500</v>
      </c>
      <c r="M390" s="201"/>
      <c r="N390" s="201">
        <f t="shared" si="160"/>
        <v>500</v>
      </c>
      <c r="O390" s="31"/>
      <c r="P390" s="647" t="s">
        <v>110</v>
      </c>
      <c r="Q390" s="1136" t="s">
        <v>105</v>
      </c>
      <c r="V390" s="31" t="s">
        <v>206</v>
      </c>
    </row>
    <row r="391" spans="2:22">
      <c r="B391" s="263"/>
      <c r="C391" s="263"/>
      <c r="D391" s="182"/>
      <c r="E391" s="419"/>
      <c r="F391" s="419"/>
      <c r="G391" s="1103"/>
      <c r="H391" s="1103"/>
      <c r="I391" s="691"/>
      <c r="J391" s="1224"/>
      <c r="L391" s="186"/>
      <c r="M391" s="203"/>
      <c r="N391" s="203"/>
      <c r="O391" s="31"/>
      <c r="V391" s="31"/>
    </row>
    <row r="392" spans="2:22">
      <c r="B392" s="263"/>
      <c r="C392" s="263"/>
      <c r="D392" s="182"/>
      <c r="E392" s="419"/>
      <c r="F392" s="419"/>
      <c r="G392" s="420"/>
      <c r="H392" s="1103"/>
      <c r="I392" s="691">
        <v>99518</v>
      </c>
      <c r="J392" s="1224"/>
      <c r="K392" s="1199"/>
      <c r="L392" s="294">
        <f>SUM(L393:L395)</f>
        <v>3000</v>
      </c>
      <c r="M392" s="294"/>
      <c r="N392" s="294">
        <f t="shared" ref="N392" si="164">SUM(N393:N395)</f>
        <v>3000</v>
      </c>
      <c r="O392" s="1179">
        <f t="shared" ref="O392" si="165">N392+I392</f>
        <v>102518</v>
      </c>
      <c r="Q392" s="1179"/>
      <c r="R392" s="294">
        <f t="shared" ref="R392:S392" si="166">SUM(R393:R395)</f>
        <v>2000</v>
      </c>
      <c r="S392" s="294">
        <f t="shared" si="166"/>
        <v>2000</v>
      </c>
      <c r="V392" s="31"/>
    </row>
    <row r="393" spans="2:22" ht="45">
      <c r="B393" s="263" t="s">
        <v>3218</v>
      </c>
      <c r="C393" s="263"/>
      <c r="D393" s="182" t="s">
        <v>3219</v>
      </c>
      <c r="E393" s="419">
        <v>41206</v>
      </c>
      <c r="F393" s="419" t="s">
        <v>3217</v>
      </c>
      <c r="G393" s="72" t="s">
        <v>5930</v>
      </c>
      <c r="H393" s="1103"/>
      <c r="I393" s="631"/>
      <c r="J393" s="632"/>
      <c r="L393" s="186">
        <v>1000</v>
      </c>
      <c r="M393" s="203"/>
      <c r="N393" s="203">
        <f t="shared" si="160"/>
        <v>1000</v>
      </c>
      <c r="O393" s="31"/>
      <c r="P393" s="647" t="s">
        <v>110</v>
      </c>
      <c r="Q393" s="1136" t="s">
        <v>105</v>
      </c>
      <c r="R393" s="821">
        <v>1000</v>
      </c>
      <c r="S393" s="821">
        <v>1000</v>
      </c>
      <c r="T393" s="1227" t="s">
        <v>6044</v>
      </c>
      <c r="V393" s="31" t="s">
        <v>3101</v>
      </c>
    </row>
    <row r="394" spans="2:22" ht="45">
      <c r="B394" s="263" t="s">
        <v>3218</v>
      </c>
      <c r="C394" s="263"/>
      <c r="D394" s="77" t="s">
        <v>3220</v>
      </c>
      <c r="E394" s="78">
        <v>41347</v>
      </c>
      <c r="F394" s="419" t="s">
        <v>3217</v>
      </c>
      <c r="G394" s="72" t="s">
        <v>5930</v>
      </c>
      <c r="H394" s="1103"/>
      <c r="I394" s="631"/>
      <c r="J394" s="632"/>
      <c r="L394" s="264">
        <v>1000</v>
      </c>
      <c r="M394" s="246"/>
      <c r="N394" s="264">
        <f>SUM(K394:M394)</f>
        <v>1000</v>
      </c>
      <c r="O394" s="31"/>
      <c r="P394" s="647" t="s">
        <v>110</v>
      </c>
      <c r="Q394" s="1136" t="s">
        <v>105</v>
      </c>
      <c r="R394" s="675">
        <v>1000</v>
      </c>
      <c r="S394" s="821">
        <v>1000</v>
      </c>
      <c r="T394" s="1227" t="s">
        <v>6045</v>
      </c>
      <c r="V394" s="31" t="s">
        <v>3101</v>
      </c>
    </row>
    <row r="395" spans="2:22" ht="45">
      <c r="B395" s="263" t="s">
        <v>3221</v>
      </c>
      <c r="C395" s="263"/>
      <c r="D395" s="77" t="s">
        <v>3222</v>
      </c>
      <c r="E395" s="78">
        <v>41284</v>
      </c>
      <c r="F395" s="78" t="s">
        <v>3223</v>
      </c>
      <c r="G395" s="72" t="s">
        <v>5931</v>
      </c>
      <c r="H395" s="1103"/>
      <c r="I395" s="631"/>
      <c r="J395" s="632"/>
      <c r="L395" s="264">
        <v>1000</v>
      </c>
      <c r="M395" s="246"/>
      <c r="N395" s="264">
        <f>SUM(K395:M395)</f>
        <v>1000</v>
      </c>
      <c r="O395" s="31"/>
      <c r="P395" s="647" t="s">
        <v>110</v>
      </c>
      <c r="Q395" s="1136" t="s">
        <v>105</v>
      </c>
      <c r="V395" s="31" t="s">
        <v>217</v>
      </c>
    </row>
    <row r="396" spans="2:22">
      <c r="B396" s="263"/>
      <c r="C396" s="263"/>
      <c r="D396" s="77"/>
      <c r="E396" s="78"/>
      <c r="F396" s="78"/>
      <c r="G396" s="1103"/>
      <c r="H396" s="1103"/>
      <c r="I396" s="631"/>
      <c r="J396" s="632"/>
      <c r="L396" s="264"/>
      <c r="M396" s="246"/>
      <c r="N396" s="264"/>
      <c r="O396" s="31"/>
      <c r="V396" s="31"/>
    </row>
    <row r="397" spans="2:22">
      <c r="B397" s="263"/>
      <c r="C397" s="263"/>
      <c r="D397" s="77"/>
      <c r="E397" s="78"/>
      <c r="F397" s="78"/>
      <c r="G397" s="420"/>
      <c r="H397" s="1103"/>
      <c r="I397" s="631">
        <v>70201</v>
      </c>
      <c r="J397" s="632"/>
      <c r="K397" s="1199"/>
      <c r="L397" s="247">
        <f>SUM(L398:L399)</f>
        <v>1300</v>
      </c>
      <c r="M397" s="247"/>
      <c r="N397" s="247">
        <f t="shared" ref="N397" si="167">SUM(N398:N399)</f>
        <v>1300</v>
      </c>
      <c r="O397" s="1179">
        <f t="shared" ref="O397" si="168">N397+I397</f>
        <v>71501</v>
      </c>
      <c r="Q397" s="1179"/>
      <c r="R397" s="247">
        <f t="shared" ref="R397:S397" si="169">SUM(R398:R399)</f>
        <v>0</v>
      </c>
      <c r="S397" s="247">
        <f t="shared" si="169"/>
        <v>0</v>
      </c>
      <c r="V397" s="31"/>
    </row>
    <row r="398" spans="2:22" ht="45">
      <c r="B398" s="263" t="s">
        <v>3224</v>
      </c>
      <c r="C398" s="263"/>
      <c r="D398" s="182" t="s">
        <v>3225</v>
      </c>
      <c r="E398" s="419">
        <v>41121</v>
      </c>
      <c r="F398" s="419" t="s">
        <v>3223</v>
      </c>
      <c r="G398" s="72" t="s">
        <v>5932</v>
      </c>
      <c r="H398" s="1103"/>
      <c r="I398" s="631"/>
      <c r="J398" s="632"/>
      <c r="L398" s="186">
        <v>300</v>
      </c>
      <c r="M398" s="203"/>
      <c r="N398" s="203">
        <f t="shared" si="160"/>
        <v>300</v>
      </c>
      <c r="O398" s="31"/>
      <c r="P398" s="647" t="s">
        <v>110</v>
      </c>
      <c r="Q398" s="1136" t="s">
        <v>105</v>
      </c>
      <c r="V398" s="31" t="s">
        <v>217</v>
      </c>
    </row>
    <row r="399" spans="2:22" ht="45">
      <c r="B399" s="263" t="s">
        <v>3224</v>
      </c>
      <c r="C399" s="263"/>
      <c r="D399" s="182" t="s">
        <v>3226</v>
      </c>
      <c r="E399" s="419">
        <v>41221</v>
      </c>
      <c r="F399" s="419" t="s">
        <v>3223</v>
      </c>
      <c r="G399" s="72" t="s">
        <v>5932</v>
      </c>
      <c r="H399" s="1103"/>
      <c r="I399" s="631"/>
      <c r="J399" s="632"/>
      <c r="L399" s="186">
        <v>1000</v>
      </c>
      <c r="M399" s="203"/>
      <c r="N399" s="203">
        <f t="shared" si="160"/>
        <v>1000</v>
      </c>
      <c r="O399" s="31"/>
      <c r="P399" s="647" t="s">
        <v>110</v>
      </c>
      <c r="Q399" s="1136" t="s">
        <v>105</v>
      </c>
      <c r="V399" s="31" t="s">
        <v>217</v>
      </c>
    </row>
    <row r="400" spans="2:22">
      <c r="B400" s="263"/>
      <c r="C400" s="263"/>
      <c r="D400" s="182"/>
      <c r="E400" s="419"/>
      <c r="F400" s="419"/>
      <c r="G400" s="1103"/>
      <c r="H400" s="1103"/>
      <c r="I400" s="1177"/>
      <c r="J400" s="1225"/>
      <c r="L400" s="186"/>
      <c r="M400" s="203"/>
      <c r="N400" s="203"/>
      <c r="O400" s="31"/>
      <c r="V400" s="31"/>
    </row>
    <row r="401" spans="2:22">
      <c r="B401" s="263"/>
      <c r="C401" s="263"/>
      <c r="D401" s="182"/>
      <c r="E401" s="419"/>
      <c r="F401" s="419"/>
      <c r="G401" s="420"/>
      <c r="H401" s="1103"/>
      <c r="I401" s="1177">
        <v>354120</v>
      </c>
      <c r="J401" s="1225"/>
      <c r="K401" s="1199"/>
      <c r="L401" s="294">
        <f>SUM(L402:L406)</f>
        <v>11500</v>
      </c>
      <c r="M401" s="294"/>
      <c r="N401" s="294">
        <f t="shared" ref="N401" si="170">SUM(N402:N406)</f>
        <v>11500</v>
      </c>
      <c r="O401" s="1179">
        <f t="shared" ref="O401" si="171">N401+I401</f>
        <v>365620</v>
      </c>
      <c r="Q401" s="1179"/>
      <c r="R401" s="294">
        <f t="shared" ref="R401:S401" si="172">SUM(R402:R406)</f>
        <v>10000</v>
      </c>
      <c r="S401" s="294">
        <f t="shared" si="172"/>
        <v>10000</v>
      </c>
      <c r="V401" s="31"/>
    </row>
    <row r="402" spans="2:22" ht="45">
      <c r="B402" s="263" t="s">
        <v>3228</v>
      </c>
      <c r="C402" s="263"/>
      <c r="D402" s="182" t="s">
        <v>3229</v>
      </c>
      <c r="E402" s="419">
        <v>41134</v>
      </c>
      <c r="F402" s="419" t="s">
        <v>3227</v>
      </c>
      <c r="G402" s="265" t="s">
        <v>5933</v>
      </c>
      <c r="H402" s="1103"/>
      <c r="I402" s="631"/>
      <c r="J402" s="632"/>
      <c r="L402" s="186">
        <v>500</v>
      </c>
      <c r="M402" s="203"/>
      <c r="N402" s="203">
        <f t="shared" si="160"/>
        <v>500</v>
      </c>
      <c r="O402" s="31"/>
      <c r="P402" s="647" t="s">
        <v>110</v>
      </c>
      <c r="Q402" s="1136" t="s">
        <v>105</v>
      </c>
      <c r="V402" s="31" t="s">
        <v>3123</v>
      </c>
    </row>
    <row r="403" spans="2:22" ht="45">
      <c r="B403" s="263" t="s">
        <v>3228</v>
      </c>
      <c r="C403" s="263"/>
      <c r="D403" s="182" t="s">
        <v>3230</v>
      </c>
      <c r="E403" s="419">
        <v>41221</v>
      </c>
      <c r="F403" s="419" t="s">
        <v>3227</v>
      </c>
      <c r="G403" s="265" t="s">
        <v>5933</v>
      </c>
      <c r="H403" s="1103"/>
      <c r="I403" s="631"/>
      <c r="J403" s="632"/>
      <c r="L403" s="186">
        <v>1000</v>
      </c>
      <c r="M403" s="203"/>
      <c r="N403" s="203">
        <f t="shared" si="160"/>
        <v>1000</v>
      </c>
      <c r="O403" s="31"/>
      <c r="P403" s="647" t="s">
        <v>110</v>
      </c>
      <c r="Q403" s="1136" t="s">
        <v>105</v>
      </c>
      <c r="T403" s="1115" t="s">
        <v>5495</v>
      </c>
      <c r="V403" s="31" t="s">
        <v>3123</v>
      </c>
    </row>
    <row r="404" spans="2:22" ht="45">
      <c r="B404" s="263" t="s">
        <v>3228</v>
      </c>
      <c r="C404" s="263"/>
      <c r="D404" s="182" t="s">
        <v>3231</v>
      </c>
      <c r="E404" s="419">
        <v>41250</v>
      </c>
      <c r="F404" s="419" t="s">
        <v>3227</v>
      </c>
      <c r="G404" s="265" t="s">
        <v>5933</v>
      </c>
      <c r="H404" s="1103"/>
      <c r="I404" s="631"/>
      <c r="J404" s="632"/>
      <c r="L404" s="186">
        <v>2000</v>
      </c>
      <c r="M404" s="203"/>
      <c r="N404" s="203">
        <f t="shared" si="160"/>
        <v>2000</v>
      </c>
      <c r="O404" s="31"/>
      <c r="P404" s="647" t="s">
        <v>110</v>
      </c>
      <c r="Q404" s="1136" t="s">
        <v>105</v>
      </c>
      <c r="R404" s="1003">
        <v>2000</v>
      </c>
      <c r="S404" s="1003">
        <v>2000</v>
      </c>
      <c r="T404" s="1115"/>
      <c r="V404" s="31" t="s">
        <v>3123</v>
      </c>
    </row>
    <row r="405" spans="2:22" ht="45">
      <c r="B405" s="263" t="s">
        <v>3228</v>
      </c>
      <c r="C405" s="263"/>
      <c r="D405" s="77" t="s">
        <v>3232</v>
      </c>
      <c r="E405" s="78">
        <v>41347</v>
      </c>
      <c r="F405" s="419" t="s">
        <v>3227</v>
      </c>
      <c r="G405" s="265" t="s">
        <v>5933</v>
      </c>
      <c r="H405" s="1103"/>
      <c r="I405" s="631"/>
      <c r="J405" s="632"/>
      <c r="L405" s="264">
        <v>3000</v>
      </c>
      <c r="M405" s="246"/>
      <c r="N405" s="264">
        <f>SUM(K405:M405)</f>
        <v>3000</v>
      </c>
      <c r="O405" s="31"/>
      <c r="P405" s="647" t="s">
        <v>110</v>
      </c>
      <c r="Q405" s="1136" t="s">
        <v>105</v>
      </c>
      <c r="R405" s="1003">
        <v>3000</v>
      </c>
      <c r="S405" s="1003">
        <v>3000</v>
      </c>
      <c r="T405" s="1115"/>
      <c r="V405" s="31" t="s">
        <v>3123</v>
      </c>
    </row>
    <row r="406" spans="2:22" ht="45">
      <c r="B406" s="263" t="s">
        <v>3228</v>
      </c>
      <c r="C406" s="263"/>
      <c r="D406" s="77" t="s">
        <v>3233</v>
      </c>
      <c r="E406" s="78">
        <v>41355</v>
      </c>
      <c r="F406" s="419" t="s">
        <v>3227</v>
      </c>
      <c r="G406" s="265" t="s">
        <v>5933</v>
      </c>
      <c r="H406" s="1103"/>
      <c r="I406" s="631"/>
      <c r="J406" s="632"/>
      <c r="L406" s="264">
        <v>5000</v>
      </c>
      <c r="M406" s="246"/>
      <c r="N406" s="264">
        <f>SUM(K406:M406)</f>
        <v>5000</v>
      </c>
      <c r="O406" s="31"/>
      <c r="P406" s="647" t="s">
        <v>110</v>
      </c>
      <c r="Q406" s="1136" t="s">
        <v>105</v>
      </c>
      <c r="R406" s="1003">
        <v>5000</v>
      </c>
      <c r="S406" s="1003">
        <v>5000</v>
      </c>
      <c r="T406" s="1006">
        <v>3941</v>
      </c>
      <c r="V406" s="31" t="s">
        <v>3123</v>
      </c>
    </row>
    <row r="407" spans="2:22">
      <c r="B407" s="263"/>
      <c r="C407" s="263"/>
      <c r="D407" s="77"/>
      <c r="E407" s="78"/>
      <c r="F407" s="78"/>
      <c r="G407" s="1103"/>
      <c r="H407" s="1103"/>
      <c r="I407" s="1177"/>
      <c r="J407" s="1225"/>
      <c r="L407" s="264"/>
      <c r="M407" s="246"/>
      <c r="N407" s="264"/>
      <c r="O407" s="31"/>
      <c r="V407" s="31"/>
    </row>
    <row r="408" spans="2:22">
      <c r="B408" s="263"/>
      <c r="C408" s="263"/>
      <c r="D408" s="77"/>
      <c r="E408" s="78"/>
      <c r="F408" s="78"/>
      <c r="G408" s="420"/>
      <c r="H408" s="1103"/>
      <c r="I408" s="1177">
        <v>207097</v>
      </c>
      <c r="J408" s="1225"/>
      <c r="K408" s="1199"/>
      <c r="L408" s="247">
        <f>SUM(L409:L413)</f>
        <v>4500</v>
      </c>
      <c r="M408" s="247"/>
      <c r="N408" s="247">
        <f t="shared" ref="N408" si="173">SUM(N409:N413)</f>
        <v>4500</v>
      </c>
      <c r="O408" s="1179">
        <f t="shared" ref="O408" si="174">N408+I408</f>
        <v>211597</v>
      </c>
      <c r="Q408" s="1179"/>
      <c r="R408" s="247">
        <f t="shared" ref="R408:S408" si="175">SUM(R409:R413)</f>
        <v>0</v>
      </c>
      <c r="S408" s="247">
        <f t="shared" si="175"/>
        <v>0</v>
      </c>
      <c r="V408" s="31"/>
    </row>
    <row r="409" spans="2:22" ht="45">
      <c r="B409" s="263" t="s">
        <v>220</v>
      </c>
      <c r="C409" s="263"/>
      <c r="D409" s="182" t="s">
        <v>3235</v>
      </c>
      <c r="E409" s="419">
        <v>41250</v>
      </c>
      <c r="F409" s="419" t="s">
        <v>3234</v>
      </c>
      <c r="G409" s="72" t="s">
        <v>5934</v>
      </c>
      <c r="H409" s="1103"/>
      <c r="I409" s="631"/>
      <c r="J409" s="632"/>
      <c r="L409" s="186">
        <v>2000</v>
      </c>
      <c r="M409" s="203"/>
      <c r="N409" s="203">
        <f t="shared" si="160"/>
        <v>2000</v>
      </c>
      <c r="O409" s="31"/>
      <c r="P409" s="647" t="s">
        <v>110</v>
      </c>
      <c r="Q409" s="1136" t="s">
        <v>105</v>
      </c>
      <c r="V409" s="31" t="s">
        <v>203</v>
      </c>
    </row>
    <row r="410" spans="2:22" ht="45">
      <c r="B410" s="263" t="s">
        <v>220</v>
      </c>
      <c r="C410" s="263"/>
      <c r="D410" s="182" t="s">
        <v>3236</v>
      </c>
      <c r="E410" s="419">
        <v>41263</v>
      </c>
      <c r="F410" s="419" t="s">
        <v>3234</v>
      </c>
      <c r="G410" s="72" t="s">
        <v>5934</v>
      </c>
      <c r="H410" s="1103"/>
      <c r="I410" s="631"/>
      <c r="J410" s="632"/>
      <c r="L410" s="186">
        <v>500</v>
      </c>
      <c r="M410" s="203"/>
      <c r="N410" s="203">
        <f t="shared" si="160"/>
        <v>500</v>
      </c>
      <c r="O410" s="31"/>
      <c r="P410" s="647" t="s">
        <v>110</v>
      </c>
      <c r="Q410" s="1136" t="s">
        <v>105</v>
      </c>
      <c r="V410" s="31" t="s">
        <v>203</v>
      </c>
    </row>
    <row r="411" spans="2:22" ht="45">
      <c r="B411" s="263" t="s">
        <v>220</v>
      </c>
      <c r="C411" s="263"/>
      <c r="D411" s="77" t="s">
        <v>3237</v>
      </c>
      <c r="E411" s="78">
        <v>41337</v>
      </c>
      <c r="F411" s="419" t="s">
        <v>3234</v>
      </c>
      <c r="G411" s="72" t="s">
        <v>5934</v>
      </c>
      <c r="H411" s="1103"/>
      <c r="I411" s="631"/>
      <c r="J411" s="632"/>
      <c r="L411" s="264">
        <v>1000</v>
      </c>
      <c r="M411" s="246"/>
      <c r="N411" s="264">
        <f>SUM(K411:M411)</f>
        <v>1000</v>
      </c>
      <c r="O411" s="31"/>
      <c r="P411" s="647" t="s">
        <v>110</v>
      </c>
      <c r="Q411" s="1136" t="s">
        <v>105</v>
      </c>
      <c r="V411" s="31" t="s">
        <v>203</v>
      </c>
    </row>
    <row r="412" spans="2:22" ht="45">
      <c r="B412" s="263" t="s">
        <v>220</v>
      </c>
      <c r="C412" s="263"/>
      <c r="D412" s="77" t="s">
        <v>3238</v>
      </c>
      <c r="E412" s="78">
        <v>41348</v>
      </c>
      <c r="F412" s="419" t="s">
        <v>3234</v>
      </c>
      <c r="G412" s="72" t="s">
        <v>5934</v>
      </c>
      <c r="H412" s="1103"/>
      <c r="I412" s="631"/>
      <c r="J412" s="632"/>
      <c r="L412" s="264">
        <v>1000</v>
      </c>
      <c r="M412" s="246"/>
      <c r="N412" s="264">
        <f>SUM(K412:M412)</f>
        <v>1000</v>
      </c>
      <c r="O412" s="31"/>
      <c r="P412" s="647" t="s">
        <v>110</v>
      </c>
      <c r="Q412" s="1136" t="s">
        <v>105</v>
      </c>
      <c r="V412" s="31" t="s">
        <v>203</v>
      </c>
    </row>
    <row r="413" spans="2:22">
      <c r="L413" s="264"/>
      <c r="M413" s="246"/>
      <c r="N413" s="264"/>
      <c r="O413" s="328"/>
      <c r="Q413" s="328"/>
    </row>
    <row r="414" spans="2:22">
      <c r="B414" s="263"/>
      <c r="C414" s="263"/>
      <c r="D414" s="182"/>
      <c r="E414" s="419"/>
      <c r="F414" s="419"/>
      <c r="G414" s="396"/>
      <c r="H414" s="1103"/>
      <c r="I414" s="1177">
        <v>175407</v>
      </c>
      <c r="J414" s="1225"/>
      <c r="K414" s="1199"/>
      <c r="L414" s="294">
        <f>SUM(L415:L418)</f>
        <v>4200</v>
      </c>
      <c r="M414" s="294"/>
      <c r="N414" s="294">
        <f t="shared" ref="N414" si="176">SUM(N415:N418)</f>
        <v>4200</v>
      </c>
      <c r="O414" s="1179">
        <f t="shared" ref="O414" si="177">N414+I414</f>
        <v>179607</v>
      </c>
      <c r="Q414" s="1179"/>
      <c r="R414" s="294">
        <f t="shared" ref="R414:S414" si="178">SUM(R415:R418)</f>
        <v>0</v>
      </c>
      <c r="S414" s="294">
        <f t="shared" si="178"/>
        <v>0</v>
      </c>
    </row>
    <row r="415" spans="2:22" ht="45">
      <c r="B415" s="263" t="s">
        <v>222</v>
      </c>
      <c r="C415" s="263"/>
      <c r="D415" s="182" t="s">
        <v>3240</v>
      </c>
      <c r="E415" s="419">
        <v>41173</v>
      </c>
      <c r="F415" s="419" t="s">
        <v>3239</v>
      </c>
      <c r="G415" s="72" t="s">
        <v>5935</v>
      </c>
      <c r="H415" s="1103"/>
      <c r="I415" s="631"/>
      <c r="J415" s="632"/>
      <c r="L415" s="186">
        <v>200</v>
      </c>
      <c r="M415" s="203"/>
      <c r="N415" s="203">
        <f t="shared" ref="N415:N417" si="179">SUM(K415:M415)</f>
        <v>200</v>
      </c>
      <c r="O415" s="31"/>
      <c r="P415" s="647" t="s">
        <v>110</v>
      </c>
      <c r="Q415" s="1136" t="s">
        <v>105</v>
      </c>
      <c r="T415" s="1115" t="s">
        <v>5709</v>
      </c>
      <c r="V415" s="31" t="s">
        <v>209</v>
      </c>
    </row>
    <row r="416" spans="2:22" ht="45">
      <c r="B416" s="263" t="s">
        <v>222</v>
      </c>
      <c r="C416" s="263"/>
      <c r="D416" s="77" t="s">
        <v>3241</v>
      </c>
      <c r="E416" s="78">
        <v>41347</v>
      </c>
      <c r="F416" s="419" t="s">
        <v>3239</v>
      </c>
      <c r="G416" s="72" t="s">
        <v>5935</v>
      </c>
      <c r="H416" s="1103"/>
      <c r="I416" s="631"/>
      <c r="J416" s="632"/>
      <c r="L416" s="264">
        <v>2000</v>
      </c>
      <c r="M416" s="246"/>
      <c r="N416" s="264">
        <f t="shared" si="179"/>
        <v>2000</v>
      </c>
      <c r="O416" s="31"/>
      <c r="P416" s="647" t="s">
        <v>110</v>
      </c>
      <c r="Q416" s="1136" t="s">
        <v>105</v>
      </c>
      <c r="T416" s="1115" t="s">
        <v>5709</v>
      </c>
      <c r="V416" s="31" t="s">
        <v>209</v>
      </c>
    </row>
    <row r="417" spans="2:24" ht="45">
      <c r="B417" s="263" t="s">
        <v>222</v>
      </c>
      <c r="C417" s="263"/>
      <c r="D417" s="77" t="s">
        <v>3242</v>
      </c>
      <c r="E417" s="78">
        <v>41354</v>
      </c>
      <c r="F417" s="419" t="s">
        <v>3239</v>
      </c>
      <c r="G417" s="72" t="s">
        <v>5935</v>
      </c>
      <c r="H417" s="1103"/>
      <c r="I417" s="631"/>
      <c r="J417" s="632"/>
      <c r="L417" s="264">
        <v>2000</v>
      </c>
      <c r="M417" s="246"/>
      <c r="N417" s="264">
        <f t="shared" si="179"/>
        <v>2000</v>
      </c>
      <c r="O417" s="31"/>
      <c r="P417" s="647" t="s">
        <v>110</v>
      </c>
      <c r="Q417" s="1136" t="s">
        <v>105</v>
      </c>
      <c r="T417" s="1115" t="s">
        <v>5709</v>
      </c>
      <c r="V417" s="31" t="s">
        <v>209</v>
      </c>
    </row>
    <row r="418" spans="2:24">
      <c r="L418" s="715"/>
      <c r="M418" s="715"/>
      <c r="N418" s="715"/>
      <c r="O418" s="715"/>
      <c r="Q418" s="328"/>
    </row>
    <row r="419" spans="2:24">
      <c r="B419" s="1197" t="s">
        <v>140</v>
      </c>
      <c r="C419" s="1197"/>
      <c r="K419" s="1204"/>
      <c r="L419" s="1008">
        <f>L420+L434</f>
        <v>254405.17</v>
      </c>
      <c r="M419" s="1204"/>
      <c r="N419" s="1008">
        <f>N420+N434</f>
        <v>254405.17</v>
      </c>
      <c r="O419" s="715"/>
      <c r="Q419" s="328"/>
      <c r="R419" s="1008">
        <f t="shared" ref="R419:S419" si="180">R420+R434</f>
        <v>543009.41547000001</v>
      </c>
      <c r="S419" s="1008">
        <f t="shared" si="180"/>
        <v>538207.79897</v>
      </c>
    </row>
    <row r="420" spans="2:24">
      <c r="B420" s="1206" t="s">
        <v>11</v>
      </c>
      <c r="C420" s="1206"/>
      <c r="K420" s="1199"/>
      <c r="L420" s="1008">
        <f>SUM(L421:L429)</f>
        <v>69217.095000000001</v>
      </c>
      <c r="M420" s="1008"/>
      <c r="N420" s="1008">
        <f t="shared" ref="N420" si="181">SUM(N421:N429)</f>
        <v>69217.095000000001</v>
      </c>
      <c r="O420" s="715"/>
      <c r="Q420" s="328"/>
      <c r="R420" s="1008">
        <f t="shared" ref="R420:S420" si="182">SUM(R421:R429)</f>
        <v>7500</v>
      </c>
      <c r="S420" s="1008">
        <f t="shared" si="182"/>
        <v>6240</v>
      </c>
    </row>
    <row r="421" spans="2:24" ht="30">
      <c r="B421" s="263" t="s">
        <v>3243</v>
      </c>
      <c r="C421" s="263"/>
      <c r="D421" s="182" t="s">
        <v>3244</v>
      </c>
      <c r="E421" s="419">
        <v>41264</v>
      </c>
      <c r="F421" s="419" t="s">
        <v>5936</v>
      </c>
      <c r="G421" s="185" t="s">
        <v>5937</v>
      </c>
      <c r="H421" s="98"/>
      <c r="I421" s="186">
        <v>26911</v>
      </c>
      <c r="J421" s="186"/>
      <c r="L421" s="186">
        <v>3847.0949999999998</v>
      </c>
      <c r="M421" s="74"/>
      <c r="N421" s="203">
        <f t="shared" ref="N421:N433" si="183">SUM(K421:M421)</f>
        <v>3847.0949999999998</v>
      </c>
      <c r="O421" s="186">
        <f>N421+I421</f>
        <v>30758.095000000001</v>
      </c>
      <c r="P421" s="647" t="s">
        <v>110</v>
      </c>
      <c r="Q421" s="1136" t="s">
        <v>105</v>
      </c>
      <c r="R421" s="1003"/>
      <c r="S421" s="1003"/>
      <c r="V421" s="31" t="s">
        <v>504</v>
      </c>
    </row>
    <row r="422" spans="2:24" ht="30">
      <c r="B422" s="263" t="s">
        <v>3243</v>
      </c>
      <c r="C422" s="263"/>
      <c r="D422" s="182" t="s">
        <v>3245</v>
      </c>
      <c r="E422" s="78">
        <v>41270</v>
      </c>
      <c r="F422" s="78" t="s">
        <v>5938</v>
      </c>
      <c r="G422" s="185" t="s">
        <v>5939</v>
      </c>
      <c r="H422" s="98"/>
      <c r="I422" s="264">
        <v>28492</v>
      </c>
      <c r="J422" s="264"/>
      <c r="L422" s="264">
        <v>2500</v>
      </c>
      <c r="M422" s="74"/>
      <c r="N422" s="203">
        <f t="shared" si="183"/>
        <v>2500</v>
      </c>
      <c r="O422" s="186">
        <f t="shared" ref="O422:O426" si="184">N422+I422</f>
        <v>30992</v>
      </c>
      <c r="P422" s="647" t="s">
        <v>110</v>
      </c>
      <c r="Q422" s="1136" t="s">
        <v>105</v>
      </c>
      <c r="R422" s="1003">
        <v>2500</v>
      </c>
      <c r="S422" s="1003">
        <v>1572</v>
      </c>
      <c r="V422" s="31" t="s">
        <v>504</v>
      </c>
    </row>
    <row r="423" spans="2:24" ht="30">
      <c r="B423" s="263" t="s">
        <v>3246</v>
      </c>
      <c r="C423" s="263"/>
      <c r="D423" s="182" t="s">
        <v>3247</v>
      </c>
      <c r="E423" s="78">
        <v>41127</v>
      </c>
      <c r="F423" s="78" t="s">
        <v>4965</v>
      </c>
      <c r="G423" s="185" t="s">
        <v>543</v>
      </c>
      <c r="H423" s="98"/>
      <c r="I423" s="264">
        <v>152521</v>
      </c>
      <c r="J423" s="264"/>
      <c r="L423" s="264"/>
      <c r="M423" s="74"/>
      <c r="N423" s="203">
        <f t="shared" si="183"/>
        <v>0</v>
      </c>
      <c r="O423" s="186">
        <f t="shared" si="184"/>
        <v>152521</v>
      </c>
      <c r="P423" s="647" t="s">
        <v>110</v>
      </c>
      <c r="Q423" s="1136" t="s">
        <v>105</v>
      </c>
      <c r="R423" s="1003"/>
      <c r="S423" s="1003"/>
      <c r="V423" s="31" t="s">
        <v>2794</v>
      </c>
    </row>
    <row r="424" spans="2:24" ht="30">
      <c r="B424" s="263" t="s">
        <v>3248</v>
      </c>
      <c r="C424" s="263"/>
      <c r="D424" s="77" t="s">
        <v>3249</v>
      </c>
      <c r="E424" s="78">
        <v>41295</v>
      </c>
      <c r="F424" s="78" t="s">
        <v>5940</v>
      </c>
      <c r="G424" s="185" t="s">
        <v>5941</v>
      </c>
      <c r="H424" s="185"/>
      <c r="I424" s="264">
        <v>49482</v>
      </c>
      <c r="J424" s="264"/>
      <c r="L424" s="264">
        <v>13440</v>
      </c>
      <c r="M424" s="264"/>
      <c r="N424" s="264">
        <f t="shared" si="183"/>
        <v>13440</v>
      </c>
      <c r="O424" s="186">
        <f t="shared" si="184"/>
        <v>62922</v>
      </c>
      <c r="P424" s="647" t="s">
        <v>110</v>
      </c>
      <c r="Q424" s="1136" t="s">
        <v>105</v>
      </c>
      <c r="R424" s="1003"/>
      <c r="S424" s="1003"/>
      <c r="V424" s="31" t="s">
        <v>504</v>
      </c>
    </row>
    <row r="425" spans="2:24" ht="30">
      <c r="B425" s="263" t="s">
        <v>3248</v>
      </c>
      <c r="C425" s="263"/>
      <c r="D425" s="77" t="s">
        <v>3250</v>
      </c>
      <c r="E425" s="78">
        <v>41305</v>
      </c>
      <c r="F425" s="78" t="s">
        <v>5943</v>
      </c>
      <c r="G425" s="185" t="s">
        <v>5942</v>
      </c>
      <c r="H425" s="185"/>
      <c r="I425" s="264">
        <v>30778</v>
      </c>
      <c r="J425" s="264"/>
      <c r="L425" s="264">
        <v>2430</v>
      </c>
      <c r="M425" s="264"/>
      <c r="N425" s="264">
        <f t="shared" si="183"/>
        <v>2430</v>
      </c>
      <c r="O425" s="186">
        <f t="shared" si="184"/>
        <v>33208</v>
      </c>
      <c r="P425" s="647" t="s">
        <v>110</v>
      </c>
      <c r="Q425" s="1136" t="s">
        <v>105</v>
      </c>
      <c r="R425" s="1003"/>
      <c r="S425" s="1003"/>
      <c r="V425" s="31" t="s">
        <v>504</v>
      </c>
    </row>
    <row r="426" spans="2:24" ht="30">
      <c r="B426" s="263" t="s">
        <v>3248</v>
      </c>
      <c r="C426" s="263"/>
      <c r="D426" s="77" t="s">
        <v>3251</v>
      </c>
      <c r="E426" s="78">
        <v>41347</v>
      </c>
      <c r="F426" s="78" t="s">
        <v>5938</v>
      </c>
      <c r="G426" s="185" t="s">
        <v>5271</v>
      </c>
      <c r="H426" s="185"/>
      <c r="I426" s="264">
        <v>28492</v>
      </c>
      <c r="J426" s="264"/>
      <c r="L426" s="264">
        <v>5000</v>
      </c>
      <c r="M426" s="264"/>
      <c r="N426" s="264">
        <f t="shared" si="183"/>
        <v>5000</v>
      </c>
      <c r="O426" s="186">
        <f t="shared" si="184"/>
        <v>33492</v>
      </c>
      <c r="P426" s="647" t="s">
        <v>110</v>
      </c>
      <c r="Q426" s="1136" t="s">
        <v>105</v>
      </c>
      <c r="R426" s="1003">
        <v>5000</v>
      </c>
      <c r="S426" s="1003">
        <v>4668</v>
      </c>
      <c r="V426" s="31" t="s">
        <v>504</v>
      </c>
    </row>
    <row r="427" spans="2:24" ht="30">
      <c r="B427" s="263" t="s">
        <v>3248</v>
      </c>
      <c r="C427" s="263"/>
      <c r="D427" s="77" t="s">
        <v>3252</v>
      </c>
      <c r="E427" s="78">
        <v>41425</v>
      </c>
      <c r="F427" s="78" t="s">
        <v>5938</v>
      </c>
      <c r="G427" s="185" t="s">
        <v>5271</v>
      </c>
      <c r="H427" s="185"/>
      <c r="I427" s="264"/>
      <c r="J427" s="264"/>
      <c r="L427" s="264">
        <v>0</v>
      </c>
      <c r="M427" s="264"/>
      <c r="N427" s="264">
        <f t="shared" si="183"/>
        <v>0</v>
      </c>
      <c r="O427" s="186"/>
      <c r="P427" s="647" t="s">
        <v>110</v>
      </c>
      <c r="Q427" s="1136" t="s">
        <v>105</v>
      </c>
      <c r="V427" s="31"/>
    </row>
    <row r="428" spans="2:24">
      <c r="B428" s="263"/>
      <c r="C428" s="263"/>
      <c r="D428" s="77"/>
      <c r="E428" s="78"/>
      <c r="F428" s="78"/>
      <c r="G428" s="185"/>
      <c r="H428" s="185"/>
      <c r="I428" s="264"/>
      <c r="J428" s="264"/>
      <c r="L428" s="264"/>
      <c r="M428" s="246"/>
      <c r="N428" s="264"/>
      <c r="O428" s="264"/>
      <c r="Q428" s="264"/>
      <c r="V428" s="31"/>
    </row>
    <row r="429" spans="2:24">
      <c r="B429" s="263"/>
      <c r="C429" s="263"/>
      <c r="D429" s="77"/>
      <c r="E429" s="78"/>
      <c r="F429" s="78"/>
      <c r="G429" s="97"/>
      <c r="H429" s="185"/>
      <c r="I429" s="264">
        <v>91698</v>
      </c>
      <c r="J429" s="264"/>
      <c r="K429" s="1199"/>
      <c r="L429" s="247">
        <f t="shared" ref="L429:M429" si="185">SUM(L430:L432)</f>
        <v>42000</v>
      </c>
      <c r="M429" s="247">
        <f t="shared" si="185"/>
        <v>0</v>
      </c>
      <c r="N429" s="247">
        <f>SUM(N430:N432)</f>
        <v>42000</v>
      </c>
      <c r="O429" s="264">
        <f>N429+I429</f>
        <v>133698</v>
      </c>
      <c r="Q429" s="264"/>
      <c r="R429" s="247">
        <f t="shared" ref="R429:S429" si="186">SUM(R430:R432)</f>
        <v>0</v>
      </c>
      <c r="S429" s="247">
        <f t="shared" si="186"/>
        <v>0</v>
      </c>
      <c r="V429" s="31"/>
    </row>
    <row r="430" spans="2:24" ht="75">
      <c r="B430" s="263" t="s">
        <v>505</v>
      </c>
      <c r="C430" s="263"/>
      <c r="D430" s="77" t="s">
        <v>4465</v>
      </c>
      <c r="E430" s="78">
        <v>41264</v>
      </c>
      <c r="F430" s="78" t="s">
        <v>3253</v>
      </c>
      <c r="G430" s="98" t="s">
        <v>5944</v>
      </c>
      <c r="H430" s="185"/>
      <c r="I430" s="264"/>
      <c r="J430" s="264"/>
      <c r="K430" s="715"/>
      <c r="L430" s="264">
        <v>6000</v>
      </c>
      <c r="M430" s="246"/>
      <c r="N430" s="264">
        <f t="shared" si="183"/>
        <v>6000</v>
      </c>
      <c r="O430" s="264"/>
      <c r="P430" s="647" t="s">
        <v>110</v>
      </c>
      <c r="Q430" s="1136" t="s">
        <v>105</v>
      </c>
      <c r="V430" s="31" t="s">
        <v>504</v>
      </c>
      <c r="X430" s="118" t="s">
        <v>4466</v>
      </c>
    </row>
    <row r="431" spans="2:24" ht="75">
      <c r="B431" s="263" t="s">
        <v>505</v>
      </c>
      <c r="C431" s="263"/>
      <c r="D431" s="77" t="s">
        <v>3254</v>
      </c>
      <c r="E431" s="78">
        <v>41346</v>
      </c>
      <c r="F431" s="78" t="s">
        <v>3253</v>
      </c>
      <c r="G431" s="98" t="s">
        <v>5944</v>
      </c>
      <c r="H431" s="98"/>
      <c r="I431" s="337"/>
      <c r="J431" s="337"/>
      <c r="L431" s="264">
        <v>6000</v>
      </c>
      <c r="M431" s="246"/>
      <c r="N431" s="264">
        <f t="shared" si="183"/>
        <v>6000</v>
      </c>
      <c r="O431" s="264"/>
      <c r="P431" s="647" t="s">
        <v>110</v>
      </c>
      <c r="Q431" s="1136" t="s">
        <v>105</v>
      </c>
      <c r="V431" s="31" t="s">
        <v>504</v>
      </c>
    </row>
    <row r="432" spans="2:24" ht="75">
      <c r="B432" s="263" t="s">
        <v>505</v>
      </c>
      <c r="C432" s="263"/>
      <c r="D432" s="77" t="s">
        <v>4525</v>
      </c>
      <c r="E432" s="78">
        <v>41355</v>
      </c>
      <c r="F432" s="78" t="s">
        <v>3253</v>
      </c>
      <c r="G432" s="98" t="s">
        <v>5945</v>
      </c>
      <c r="H432" s="98"/>
      <c r="I432" s="337"/>
      <c r="J432" s="337"/>
      <c r="L432" s="264">
        <v>30000</v>
      </c>
      <c r="M432" s="246"/>
      <c r="N432" s="264">
        <f t="shared" si="183"/>
        <v>30000</v>
      </c>
      <c r="O432" s="264"/>
      <c r="P432" s="647" t="s">
        <v>110</v>
      </c>
      <c r="Q432" s="1136" t="s">
        <v>105</v>
      </c>
      <c r="V432" s="31" t="s">
        <v>504</v>
      </c>
    </row>
    <row r="433" spans="2:22">
      <c r="B433" s="198"/>
      <c r="C433" s="198"/>
      <c r="D433" s="77"/>
      <c r="E433" s="78"/>
      <c r="F433" s="78"/>
      <c r="G433" s="198"/>
      <c r="H433" s="98"/>
      <c r="I433" s="337"/>
      <c r="J433" s="337"/>
      <c r="L433" s="264"/>
      <c r="M433" s="246"/>
      <c r="N433" s="264">
        <f t="shared" si="183"/>
        <v>0</v>
      </c>
      <c r="O433" s="264"/>
      <c r="P433" s="647"/>
      <c r="Q433" s="1136"/>
      <c r="V433" s="31"/>
    </row>
    <row r="434" spans="2:22">
      <c r="B434" s="1206" t="s">
        <v>224</v>
      </c>
      <c r="C434" s="1206"/>
      <c r="K434" s="1204"/>
      <c r="L434" s="1008">
        <f>L440+L460+L465+L472+L477+L482+L486+L490+L499+L503+L497+L435+L455</f>
        <v>185188.07500000001</v>
      </c>
      <c r="M434" s="1008"/>
      <c r="N434" s="1008">
        <f>N440+N460+N465+N472+N477+N482+N486+N490+N499+N503+N497+N435+N455</f>
        <v>185188.07500000001</v>
      </c>
      <c r="O434" s="715"/>
      <c r="Q434" s="328"/>
      <c r="R434" s="1008">
        <f t="shared" ref="R434:S434" si="187">R440+R460+R465+R472+R477+R482+R486+R490+R499+R503+R497+R435+R455</f>
        <v>535509.41547000001</v>
      </c>
      <c r="S434" s="1008">
        <f t="shared" si="187"/>
        <v>531967.79897</v>
      </c>
    </row>
    <row r="435" spans="2:22">
      <c r="B435" s="265"/>
      <c r="C435" s="265"/>
      <c r="D435" s="77"/>
      <c r="E435" s="78"/>
      <c r="F435" s="78"/>
      <c r="G435" s="199"/>
      <c r="H435" s="72"/>
      <c r="I435" s="357">
        <v>700000</v>
      </c>
      <c r="J435" s="246"/>
      <c r="K435" s="1228"/>
      <c r="L435" s="1009">
        <f>SUM(L436:L438)</f>
        <v>8500</v>
      </c>
      <c r="M435" s="1009"/>
      <c r="N435" s="1009">
        <f t="shared" ref="N435" si="188">SUM(N436:N438)</f>
        <v>8500</v>
      </c>
      <c r="O435" s="715"/>
      <c r="Q435" s="328"/>
      <c r="R435" s="1009">
        <f t="shared" ref="R435:S435" si="189">SUM(R436:R438)</f>
        <v>2000</v>
      </c>
      <c r="S435" s="1009">
        <f t="shared" si="189"/>
        <v>665.5</v>
      </c>
    </row>
    <row r="436" spans="2:22" ht="30">
      <c r="B436" s="263" t="s">
        <v>3255</v>
      </c>
      <c r="C436" s="263"/>
      <c r="D436" s="182" t="s">
        <v>3256</v>
      </c>
      <c r="E436" s="419">
        <v>41260</v>
      </c>
      <c r="F436" s="419" t="s">
        <v>5946</v>
      </c>
      <c r="G436" s="185" t="s">
        <v>5947</v>
      </c>
      <c r="H436" s="98"/>
      <c r="I436" s="268"/>
      <c r="J436" s="633"/>
      <c r="K436" s="1038"/>
      <c r="L436" s="186">
        <v>1500</v>
      </c>
      <c r="M436" s="203"/>
      <c r="N436" s="203">
        <f t="shared" ref="N436:N438" si="190">SUM(K436:M436)</f>
        <v>1500</v>
      </c>
      <c r="O436" s="715"/>
      <c r="P436" s="647" t="s">
        <v>110</v>
      </c>
      <c r="Q436" s="1136" t="s">
        <v>105</v>
      </c>
      <c r="V436" s="118" t="s">
        <v>3257</v>
      </c>
    </row>
    <row r="437" spans="2:22" ht="30">
      <c r="B437" s="263" t="s">
        <v>3255</v>
      </c>
      <c r="C437" s="263"/>
      <c r="D437" s="182" t="s">
        <v>3258</v>
      </c>
      <c r="E437" s="419">
        <v>41260</v>
      </c>
      <c r="F437" s="419" t="s">
        <v>5946</v>
      </c>
      <c r="G437" s="185" t="s">
        <v>5947</v>
      </c>
      <c r="H437" s="98"/>
      <c r="I437" s="268"/>
      <c r="J437" s="633"/>
      <c r="K437" s="1038"/>
      <c r="L437" s="186">
        <v>2000</v>
      </c>
      <c r="M437" s="203"/>
      <c r="N437" s="203">
        <f t="shared" si="190"/>
        <v>2000</v>
      </c>
      <c r="O437" s="715"/>
      <c r="P437" s="647" t="s">
        <v>110</v>
      </c>
      <c r="Q437" s="1136" t="s">
        <v>105</v>
      </c>
      <c r="R437" s="1003">
        <v>2000</v>
      </c>
      <c r="S437" s="1003">
        <v>665.5</v>
      </c>
      <c r="T437" s="1115" t="s">
        <v>6180</v>
      </c>
      <c r="V437" s="118" t="s">
        <v>3257</v>
      </c>
    </row>
    <row r="438" spans="2:22" ht="30">
      <c r="B438" s="263" t="s">
        <v>1513</v>
      </c>
      <c r="C438" s="263"/>
      <c r="D438" s="77" t="s">
        <v>3259</v>
      </c>
      <c r="E438" s="78">
        <v>41442</v>
      </c>
      <c r="F438" s="419" t="s">
        <v>5946</v>
      </c>
      <c r="G438" s="185" t="s">
        <v>5947</v>
      </c>
      <c r="H438" s="185"/>
      <c r="I438" s="268"/>
      <c r="J438" s="633"/>
      <c r="K438" s="1038"/>
      <c r="L438" s="264">
        <v>5000</v>
      </c>
      <c r="M438" s="246"/>
      <c r="N438" s="264">
        <f t="shared" si="190"/>
        <v>5000</v>
      </c>
      <c r="O438" s="715"/>
      <c r="P438" s="647" t="s">
        <v>110</v>
      </c>
      <c r="Q438" s="1136" t="s">
        <v>105</v>
      </c>
      <c r="V438" s="118" t="s">
        <v>227</v>
      </c>
    </row>
    <row r="439" spans="2:22">
      <c r="B439" s="1206"/>
      <c r="C439" s="1206"/>
      <c r="K439" s="1038"/>
      <c r="L439" s="1229"/>
      <c r="M439" s="1229"/>
      <c r="N439" s="1229"/>
      <c r="O439" s="715"/>
      <c r="Q439" s="328"/>
    </row>
    <row r="440" spans="2:22">
      <c r="B440" s="198"/>
      <c r="C440" s="198"/>
      <c r="D440" s="182"/>
      <c r="E440" s="419"/>
      <c r="F440" s="419"/>
      <c r="G440" s="199"/>
      <c r="H440" s="267"/>
      <c r="I440" s="268">
        <v>44044</v>
      </c>
      <c r="J440" s="633"/>
      <c r="K440" s="1199"/>
      <c r="L440" s="294">
        <f>SUM(L441:L453)</f>
        <v>52000</v>
      </c>
      <c r="M440" s="294"/>
      <c r="N440" s="294">
        <f>SUM(N441:N453)</f>
        <v>52000</v>
      </c>
      <c r="O440" s="186">
        <f>N440+I440</f>
        <v>96044</v>
      </c>
      <c r="Q440" s="186"/>
      <c r="R440" s="294">
        <f t="shared" ref="R440:S440" si="191">SUM(R441:R453)</f>
        <v>499999</v>
      </c>
      <c r="S440" s="294">
        <f t="shared" si="191"/>
        <v>464196</v>
      </c>
    </row>
    <row r="441" spans="2:22" ht="33.75" customHeight="1">
      <c r="B441" s="263" t="s">
        <v>1513</v>
      </c>
      <c r="C441" s="263"/>
      <c r="D441" s="182" t="s">
        <v>3261</v>
      </c>
      <c r="E441" s="419">
        <v>41121</v>
      </c>
      <c r="F441" s="419" t="s">
        <v>3260</v>
      </c>
      <c r="G441" s="98" t="s">
        <v>5948</v>
      </c>
      <c r="H441" s="185"/>
      <c r="I441" s="266"/>
      <c r="J441" s="266"/>
      <c r="L441" s="186">
        <v>2000</v>
      </c>
      <c r="M441" s="203"/>
      <c r="N441" s="203">
        <f t="shared" ref="N441:N453" si="192">SUM(K441:M441)</f>
        <v>2000</v>
      </c>
      <c r="O441" s="186"/>
      <c r="P441" s="647" t="s">
        <v>110</v>
      </c>
      <c r="Q441" s="1136" t="s">
        <v>105</v>
      </c>
      <c r="S441" s="1003">
        <v>2082</v>
      </c>
      <c r="T441" s="1115" t="s">
        <v>6204</v>
      </c>
      <c r="V441" s="31" t="s">
        <v>227</v>
      </c>
    </row>
    <row r="442" spans="2:22" ht="37.5" customHeight="1">
      <c r="B442" s="263" t="s">
        <v>1513</v>
      </c>
      <c r="C442" s="263"/>
      <c r="D442" s="182" t="s">
        <v>3262</v>
      </c>
      <c r="E442" s="419">
        <v>41127</v>
      </c>
      <c r="F442" s="419" t="s">
        <v>3260</v>
      </c>
      <c r="G442" s="98" t="s">
        <v>5948</v>
      </c>
      <c r="H442" s="185"/>
      <c r="I442" s="266"/>
      <c r="J442" s="266"/>
      <c r="L442" s="186">
        <v>10000</v>
      </c>
      <c r="M442" s="203"/>
      <c r="N442" s="203">
        <f t="shared" si="192"/>
        <v>10000</v>
      </c>
      <c r="O442" s="186"/>
      <c r="P442" s="647" t="s">
        <v>110</v>
      </c>
      <c r="Q442" s="1136" t="s">
        <v>105</v>
      </c>
      <c r="S442" s="1003">
        <v>9780</v>
      </c>
      <c r="T442" s="1115" t="s">
        <v>6205</v>
      </c>
      <c r="V442" s="31" t="s">
        <v>227</v>
      </c>
    </row>
    <row r="443" spans="2:22" ht="35.25" customHeight="1">
      <c r="B443" s="263" t="s">
        <v>1513</v>
      </c>
      <c r="C443" s="263"/>
      <c r="D443" s="182" t="s">
        <v>3263</v>
      </c>
      <c r="E443" s="419">
        <v>41149</v>
      </c>
      <c r="F443" s="419" t="s">
        <v>3260</v>
      </c>
      <c r="G443" s="98" t="s">
        <v>5948</v>
      </c>
      <c r="H443" s="185"/>
      <c r="I443" s="266"/>
      <c r="J443" s="266"/>
      <c r="L443" s="186">
        <v>7500</v>
      </c>
      <c r="M443" s="203"/>
      <c r="N443" s="203">
        <f t="shared" si="192"/>
        <v>7500</v>
      </c>
      <c r="O443" s="186"/>
      <c r="P443" s="647" t="s">
        <v>110</v>
      </c>
      <c r="Q443" s="1136" t="s">
        <v>105</v>
      </c>
      <c r="S443" s="1003">
        <v>7500</v>
      </c>
      <c r="T443" s="1115" t="s">
        <v>6206</v>
      </c>
      <c r="V443" s="31" t="s">
        <v>227</v>
      </c>
    </row>
    <row r="444" spans="2:22" ht="105">
      <c r="B444" s="263" t="s">
        <v>1513</v>
      </c>
      <c r="C444" s="263"/>
      <c r="D444" s="182" t="s">
        <v>3264</v>
      </c>
      <c r="E444" s="419">
        <v>41204</v>
      </c>
      <c r="F444" s="419" t="s">
        <v>3260</v>
      </c>
      <c r="G444" s="98" t="s">
        <v>5949</v>
      </c>
      <c r="H444" s="185"/>
      <c r="I444" s="266"/>
      <c r="J444" s="266"/>
      <c r="L444" s="186">
        <v>2000</v>
      </c>
      <c r="M444" s="203"/>
      <c r="N444" s="203">
        <f t="shared" si="192"/>
        <v>2000</v>
      </c>
      <c r="O444" s="186"/>
      <c r="P444" s="647" t="s">
        <v>110</v>
      </c>
      <c r="Q444" s="1136" t="s">
        <v>105</v>
      </c>
      <c r="S444" s="1003"/>
      <c r="T444" s="1115"/>
      <c r="V444" s="31" t="s">
        <v>227</v>
      </c>
    </row>
    <row r="445" spans="2:22" ht="105">
      <c r="B445" s="263" t="s">
        <v>1513</v>
      </c>
      <c r="C445" s="263"/>
      <c r="D445" s="182" t="s">
        <v>3265</v>
      </c>
      <c r="E445" s="419">
        <v>41204</v>
      </c>
      <c r="F445" s="419" t="s">
        <v>3260</v>
      </c>
      <c r="G445" s="98" t="s">
        <v>5949</v>
      </c>
      <c r="H445" s="185"/>
      <c r="I445" s="266"/>
      <c r="J445" s="266"/>
      <c r="L445" s="186">
        <v>5000</v>
      </c>
      <c r="M445" s="203"/>
      <c r="N445" s="203">
        <f t="shared" si="192"/>
        <v>5000</v>
      </c>
      <c r="O445" s="186"/>
      <c r="P445" s="647" t="s">
        <v>110</v>
      </c>
      <c r="Q445" s="1136" t="s">
        <v>105</v>
      </c>
      <c r="S445" s="1003">
        <v>4371</v>
      </c>
      <c r="T445" s="1115" t="s">
        <v>6207</v>
      </c>
      <c r="V445" s="31" t="s">
        <v>227</v>
      </c>
    </row>
    <row r="446" spans="2:22" ht="32.25" customHeight="1">
      <c r="B446" s="263" t="s">
        <v>1513</v>
      </c>
      <c r="C446" s="263"/>
      <c r="D446" s="182" t="s">
        <v>3266</v>
      </c>
      <c r="E446" s="419">
        <v>41250</v>
      </c>
      <c r="F446" s="419" t="s">
        <v>3260</v>
      </c>
      <c r="G446" s="98" t="s">
        <v>5948</v>
      </c>
      <c r="H446" s="185"/>
      <c r="I446" s="266"/>
      <c r="J446" s="266"/>
      <c r="L446" s="186">
        <v>7000</v>
      </c>
      <c r="M446" s="203"/>
      <c r="N446" s="203">
        <f t="shared" si="192"/>
        <v>7000</v>
      </c>
      <c r="O446" s="186"/>
      <c r="P446" s="647" t="s">
        <v>110</v>
      </c>
      <c r="Q446" s="1136" t="s">
        <v>105</v>
      </c>
      <c r="S446" s="1003">
        <v>3970</v>
      </c>
      <c r="T446" s="1115" t="s">
        <v>6208</v>
      </c>
      <c r="V446" s="31" t="s">
        <v>227</v>
      </c>
    </row>
    <row r="447" spans="2:22" ht="30">
      <c r="B447" s="263" t="s">
        <v>1513</v>
      </c>
      <c r="C447" s="263"/>
      <c r="D447" s="182" t="s">
        <v>3267</v>
      </c>
      <c r="E447" s="419">
        <v>41250</v>
      </c>
      <c r="F447" s="419" t="s">
        <v>3260</v>
      </c>
      <c r="G447" s="98" t="s">
        <v>5948</v>
      </c>
      <c r="H447" s="185"/>
      <c r="I447" s="266"/>
      <c r="J447" s="266"/>
      <c r="L447" s="186">
        <v>5000</v>
      </c>
      <c r="M447" s="203"/>
      <c r="N447" s="203">
        <f t="shared" si="192"/>
        <v>5000</v>
      </c>
      <c r="O447" s="186"/>
      <c r="P447" s="647" t="s">
        <v>110</v>
      </c>
      <c r="Q447" s="1136" t="s">
        <v>105</v>
      </c>
      <c r="S447" s="1003"/>
      <c r="T447" s="1115"/>
      <c r="V447" s="31" t="s">
        <v>227</v>
      </c>
    </row>
    <row r="448" spans="2:22" ht="105">
      <c r="B448" s="263" t="s">
        <v>3255</v>
      </c>
      <c r="C448" s="263"/>
      <c r="D448" s="182" t="s">
        <v>3268</v>
      </c>
      <c r="E448" s="419">
        <v>41121</v>
      </c>
      <c r="F448" s="419" t="s">
        <v>5266</v>
      </c>
      <c r="G448" s="98" t="s">
        <v>5264</v>
      </c>
      <c r="H448" s="98"/>
      <c r="I448" s="266"/>
      <c r="J448" s="266"/>
      <c r="L448" s="186">
        <v>5000</v>
      </c>
      <c r="M448" s="203"/>
      <c r="N448" s="203">
        <f t="shared" si="192"/>
        <v>5000</v>
      </c>
      <c r="O448" s="186"/>
      <c r="P448" s="647" t="s">
        <v>110</v>
      </c>
      <c r="Q448" s="1136" t="s">
        <v>105</v>
      </c>
      <c r="V448" s="31" t="s">
        <v>227</v>
      </c>
    </row>
    <row r="449" spans="2:22" ht="105">
      <c r="B449" s="263" t="s">
        <v>3269</v>
      </c>
      <c r="C449" s="263"/>
      <c r="D449" s="77" t="s">
        <v>3270</v>
      </c>
      <c r="E449" s="78">
        <v>41305</v>
      </c>
      <c r="F449" s="419" t="s">
        <v>5266</v>
      </c>
      <c r="G449" s="98" t="s">
        <v>5264</v>
      </c>
      <c r="H449" s="185"/>
      <c r="I449" s="266"/>
      <c r="J449" s="266"/>
      <c r="L449" s="264">
        <v>1000</v>
      </c>
      <c r="M449" s="246"/>
      <c r="N449" s="264">
        <f t="shared" si="192"/>
        <v>1000</v>
      </c>
      <c r="O449" s="264"/>
      <c r="P449" s="647" t="s">
        <v>110</v>
      </c>
      <c r="Q449" s="1136" t="s">
        <v>105</v>
      </c>
      <c r="V449" s="31" t="s">
        <v>227</v>
      </c>
    </row>
    <row r="450" spans="2:22" ht="105">
      <c r="B450" s="263" t="s">
        <v>1513</v>
      </c>
      <c r="C450" s="263"/>
      <c r="D450" s="77" t="s">
        <v>3271</v>
      </c>
      <c r="E450" s="78">
        <v>41325</v>
      </c>
      <c r="F450" s="419" t="s">
        <v>5266</v>
      </c>
      <c r="G450" s="98" t="s">
        <v>5264</v>
      </c>
      <c r="H450" s="185"/>
      <c r="I450" s="266"/>
      <c r="J450" s="266"/>
      <c r="L450" s="264">
        <v>2000</v>
      </c>
      <c r="M450" s="246"/>
      <c r="N450" s="264">
        <f t="shared" si="192"/>
        <v>2000</v>
      </c>
      <c r="O450" s="264"/>
      <c r="P450" s="647" t="s">
        <v>110</v>
      </c>
      <c r="Q450" s="1136" t="s">
        <v>105</v>
      </c>
      <c r="S450" s="1003">
        <v>1270</v>
      </c>
      <c r="T450" s="1115" t="s">
        <v>6209</v>
      </c>
      <c r="V450" s="31" t="s">
        <v>227</v>
      </c>
    </row>
    <row r="451" spans="2:22" ht="105">
      <c r="B451" s="263" t="s">
        <v>1513</v>
      </c>
      <c r="C451" s="263"/>
      <c r="D451" s="77" t="s">
        <v>3272</v>
      </c>
      <c r="E451" s="78">
        <v>41348</v>
      </c>
      <c r="F451" s="419" t="s">
        <v>5266</v>
      </c>
      <c r="G451" s="98" t="s">
        <v>5264</v>
      </c>
      <c r="H451" s="185"/>
      <c r="I451" s="266"/>
      <c r="J451" s="266"/>
      <c r="L451" s="264">
        <v>2500</v>
      </c>
      <c r="M451" s="246"/>
      <c r="N451" s="264">
        <f t="shared" si="192"/>
        <v>2500</v>
      </c>
      <c r="O451" s="264"/>
      <c r="P451" s="647" t="s">
        <v>110</v>
      </c>
      <c r="Q451" s="1136" t="s">
        <v>105</v>
      </c>
      <c r="S451" s="1010" t="s">
        <v>3273</v>
      </c>
      <c r="T451" s="1115"/>
      <c r="V451" s="31" t="s">
        <v>227</v>
      </c>
    </row>
    <row r="452" spans="2:22" ht="30">
      <c r="B452" s="263" t="s">
        <v>3274</v>
      </c>
      <c r="C452" s="263"/>
      <c r="D452" s="77" t="s">
        <v>3275</v>
      </c>
      <c r="E452" s="78">
        <v>41351</v>
      </c>
      <c r="F452" s="419" t="s">
        <v>3260</v>
      </c>
      <c r="G452" s="98" t="s">
        <v>5948</v>
      </c>
      <c r="H452" s="185"/>
      <c r="I452" s="266"/>
      <c r="J452" s="266"/>
      <c r="L452" s="264">
        <v>8000</v>
      </c>
      <c r="M452" s="246"/>
      <c r="N452" s="264">
        <f t="shared" si="192"/>
        <v>8000</v>
      </c>
      <c r="O452" s="264"/>
      <c r="P452" s="647" t="s">
        <v>110</v>
      </c>
      <c r="Q452" s="1136" t="s">
        <v>105</v>
      </c>
      <c r="R452" s="1003">
        <v>499999</v>
      </c>
      <c r="S452" s="1003">
        <v>435223</v>
      </c>
      <c r="V452" s="31" t="s">
        <v>227</v>
      </c>
    </row>
    <row r="453" spans="2:22" ht="30">
      <c r="B453" s="198" t="s">
        <v>1513</v>
      </c>
      <c r="C453" s="198"/>
      <c r="D453" s="182" t="s">
        <v>3276</v>
      </c>
      <c r="E453" s="419">
        <v>41442</v>
      </c>
      <c r="F453" s="419" t="s">
        <v>3260</v>
      </c>
      <c r="G453" s="98" t="s">
        <v>5948</v>
      </c>
      <c r="H453" s="185"/>
      <c r="I453" s="266"/>
      <c r="J453" s="266"/>
      <c r="L453" s="264">
        <v>-5000</v>
      </c>
      <c r="M453" s="246"/>
      <c r="N453" s="264">
        <f t="shared" si="192"/>
        <v>-5000</v>
      </c>
      <c r="O453" s="264"/>
      <c r="P453" s="647" t="s">
        <v>110</v>
      </c>
      <c r="Q453" s="1136" t="s">
        <v>105</v>
      </c>
      <c r="R453" s="1003"/>
      <c r="S453" s="1003"/>
      <c r="V453" s="31"/>
    </row>
    <row r="454" spans="2:22">
      <c r="L454" s="715"/>
      <c r="M454" s="715"/>
      <c r="N454" s="715"/>
      <c r="O454" s="715"/>
      <c r="Q454" s="328"/>
    </row>
    <row r="455" spans="2:22">
      <c r="B455" s="198"/>
      <c r="C455" s="198"/>
      <c r="D455" s="182"/>
      <c r="E455" s="419"/>
      <c r="F455" s="419"/>
      <c r="G455" s="185"/>
      <c r="H455" s="185"/>
      <c r="I455" s="266">
        <v>40983</v>
      </c>
      <c r="J455" s="266"/>
      <c r="K455" s="1199"/>
      <c r="L455" s="294">
        <f>L457+L456+L458</f>
        <v>16000</v>
      </c>
      <c r="M455" s="294">
        <f>M457+M456+M458</f>
        <v>0</v>
      </c>
      <c r="N455" s="294">
        <f>N457+N456+N458</f>
        <v>16000</v>
      </c>
      <c r="O455" s="186">
        <f>N455+I455</f>
        <v>56983</v>
      </c>
      <c r="Q455" s="186"/>
      <c r="R455" s="294">
        <f t="shared" ref="R455:S455" si="193">R457+R456+R458</f>
        <v>0</v>
      </c>
      <c r="S455" s="294">
        <f t="shared" si="193"/>
        <v>9220.6009999999987</v>
      </c>
    </row>
    <row r="456" spans="2:22" ht="33" customHeight="1">
      <c r="B456" s="263" t="s">
        <v>1513</v>
      </c>
      <c r="C456" s="263"/>
      <c r="D456" s="182" t="s">
        <v>3277</v>
      </c>
      <c r="E456" s="419">
        <v>41250</v>
      </c>
      <c r="H456" s="185"/>
      <c r="I456" s="266"/>
      <c r="J456" s="266"/>
      <c r="L456" s="186">
        <v>7000</v>
      </c>
      <c r="M456" s="203"/>
      <c r="N456" s="203">
        <f t="shared" ref="N456" si="194">SUM(K456:M456)</f>
        <v>7000</v>
      </c>
      <c r="O456" s="186"/>
      <c r="P456" s="647" t="s">
        <v>110</v>
      </c>
      <c r="Q456" s="1136" t="s">
        <v>105</v>
      </c>
      <c r="S456" s="1003">
        <v>1717</v>
      </c>
      <c r="T456" s="1115" t="s">
        <v>6210</v>
      </c>
      <c r="V456" s="31" t="s">
        <v>227</v>
      </c>
    </row>
    <row r="457" spans="2:22" ht="105">
      <c r="B457" s="263" t="s">
        <v>3278</v>
      </c>
      <c r="C457" s="263"/>
      <c r="D457" s="182" t="s">
        <v>3279</v>
      </c>
      <c r="E457" s="419">
        <v>41191</v>
      </c>
      <c r="F457" s="419" t="s">
        <v>5950</v>
      </c>
      <c r="G457" s="98" t="s">
        <v>5952</v>
      </c>
      <c r="H457" s="185"/>
      <c r="I457" s="266"/>
      <c r="J457" s="266"/>
      <c r="L457" s="186">
        <v>2000</v>
      </c>
      <c r="M457" s="203"/>
      <c r="N457" s="203">
        <f t="shared" ref="N457" si="195">SUM(K457:M457)</f>
        <v>2000</v>
      </c>
      <c r="O457" s="186"/>
      <c r="P457" s="647" t="s">
        <v>110</v>
      </c>
      <c r="Q457" s="1136" t="s">
        <v>105</v>
      </c>
      <c r="S457" s="1003">
        <v>881.5</v>
      </c>
      <c r="T457" s="1115" t="s">
        <v>6211</v>
      </c>
      <c r="V457" s="31" t="s">
        <v>227</v>
      </c>
    </row>
    <row r="458" spans="2:22" ht="30">
      <c r="B458" s="263" t="s">
        <v>3280</v>
      </c>
      <c r="C458" s="263"/>
      <c r="D458" s="77" t="s">
        <v>3281</v>
      </c>
      <c r="E458" s="78">
        <v>41282</v>
      </c>
      <c r="F458" s="419" t="s">
        <v>5950</v>
      </c>
      <c r="G458" s="98" t="s">
        <v>5951</v>
      </c>
      <c r="H458" s="185"/>
      <c r="I458" s="266"/>
      <c r="J458" s="266"/>
      <c r="L458" s="264">
        <v>7000</v>
      </c>
      <c r="M458" s="264"/>
      <c r="N458" s="264">
        <f>SUM(K458:M458)</f>
        <v>7000</v>
      </c>
      <c r="O458" s="264"/>
      <c r="P458" s="647" t="s">
        <v>110</v>
      </c>
      <c r="Q458" s="1136" t="s">
        <v>105</v>
      </c>
      <c r="S458" s="1003">
        <v>6622.1009999999997</v>
      </c>
      <c r="T458" s="1115" t="s">
        <v>6212</v>
      </c>
      <c r="V458" s="31" t="s">
        <v>227</v>
      </c>
    </row>
    <row r="459" spans="2:22">
      <c r="B459" s="198"/>
      <c r="C459" s="198"/>
      <c r="D459" s="182"/>
      <c r="E459" s="419"/>
      <c r="F459" s="419"/>
      <c r="G459" s="185"/>
      <c r="H459" s="185"/>
      <c r="I459" s="266"/>
      <c r="J459" s="266"/>
      <c r="L459" s="186"/>
      <c r="M459" s="203"/>
      <c r="N459" s="203"/>
      <c r="O459" s="186"/>
      <c r="Q459" s="186"/>
      <c r="V459" s="31"/>
    </row>
    <row r="460" spans="2:22">
      <c r="B460" s="198"/>
      <c r="C460" s="198"/>
      <c r="D460" s="182"/>
      <c r="E460" s="419"/>
      <c r="F460" s="419"/>
      <c r="G460" s="199"/>
      <c r="H460" s="185"/>
      <c r="I460" s="266">
        <v>72873</v>
      </c>
      <c r="J460" s="266"/>
      <c r="K460" s="1199"/>
      <c r="L460" s="294">
        <f>L461+L462+L463</f>
        <v>7000</v>
      </c>
      <c r="M460" s="294">
        <f t="shared" ref="M460:N460" si="196">M461+M462+M463</f>
        <v>0</v>
      </c>
      <c r="N460" s="294">
        <f t="shared" si="196"/>
        <v>7000</v>
      </c>
      <c r="O460" s="186">
        <f>N460+I460</f>
        <v>79873</v>
      </c>
      <c r="Q460" s="186"/>
      <c r="R460" s="294">
        <f t="shared" ref="R460:S460" si="197">R461+R462+R463</f>
        <v>0</v>
      </c>
      <c r="S460" s="294">
        <f t="shared" si="197"/>
        <v>0</v>
      </c>
      <c r="V460" s="31"/>
    </row>
    <row r="461" spans="2:22" ht="105">
      <c r="B461" s="263" t="s">
        <v>1513</v>
      </c>
      <c r="C461" s="263"/>
      <c r="D461" s="182" t="s">
        <v>3282</v>
      </c>
      <c r="E461" s="419">
        <v>41250</v>
      </c>
      <c r="F461" s="419" t="s">
        <v>5954</v>
      </c>
      <c r="G461" s="98" t="s">
        <v>5953</v>
      </c>
      <c r="H461" s="185"/>
      <c r="I461" s="266"/>
      <c r="J461" s="266"/>
      <c r="L461" s="186">
        <v>1000</v>
      </c>
      <c r="M461" s="203"/>
      <c r="N461" s="203">
        <f>SUM(K461:M461)</f>
        <v>1000</v>
      </c>
      <c r="O461" s="186"/>
      <c r="P461" s="647" t="s">
        <v>110</v>
      </c>
      <c r="Q461" s="1136" t="s">
        <v>105</v>
      </c>
      <c r="V461" s="31" t="s">
        <v>227</v>
      </c>
    </row>
    <row r="462" spans="2:22" ht="30">
      <c r="B462" s="263" t="s">
        <v>1513</v>
      </c>
      <c r="C462" s="263"/>
      <c r="D462" s="77" t="s">
        <v>3283</v>
      </c>
      <c r="E462" s="78">
        <v>41288</v>
      </c>
      <c r="F462" s="78" t="s">
        <v>5955</v>
      </c>
      <c r="G462" s="198" t="s">
        <v>5956</v>
      </c>
      <c r="H462" s="185"/>
      <c r="I462" s="266"/>
      <c r="J462" s="266"/>
      <c r="L462" s="264">
        <v>1000</v>
      </c>
      <c r="M462" s="246"/>
      <c r="N462" s="264">
        <f t="shared" ref="N462:N503" si="198">SUM(K462:M462)</f>
        <v>1000</v>
      </c>
      <c r="O462" s="264"/>
      <c r="P462" s="647" t="s">
        <v>110</v>
      </c>
      <c r="Q462" s="1136" t="s">
        <v>105</v>
      </c>
      <c r="V462" s="31" t="s">
        <v>227</v>
      </c>
    </row>
    <row r="463" spans="2:22" ht="30">
      <c r="B463" s="263" t="s">
        <v>1513</v>
      </c>
      <c r="C463" s="263"/>
      <c r="D463" s="77" t="s">
        <v>3284</v>
      </c>
      <c r="E463" s="78">
        <v>41288</v>
      </c>
      <c r="F463" s="78" t="s">
        <v>5955</v>
      </c>
      <c r="G463" s="198" t="s">
        <v>5956</v>
      </c>
      <c r="H463" s="185"/>
      <c r="I463" s="266"/>
      <c r="J463" s="266"/>
      <c r="L463" s="264">
        <v>5000</v>
      </c>
      <c r="M463" s="246"/>
      <c r="N463" s="264">
        <f t="shared" si="198"/>
        <v>5000</v>
      </c>
      <c r="O463" s="264"/>
      <c r="P463" s="647" t="s">
        <v>110</v>
      </c>
      <c r="Q463" s="1136" t="s">
        <v>105</v>
      </c>
      <c r="V463" s="31" t="s">
        <v>227</v>
      </c>
    </row>
    <row r="464" spans="2:22">
      <c r="B464" s="198"/>
      <c r="C464" s="198"/>
      <c r="D464" s="77"/>
      <c r="E464" s="78"/>
      <c r="F464" s="78"/>
      <c r="G464" s="185"/>
      <c r="H464" s="185"/>
      <c r="I464" s="1109"/>
      <c r="J464" s="1109"/>
      <c r="L464" s="264"/>
      <c r="M464" s="246"/>
      <c r="N464" s="264"/>
      <c r="O464" s="264"/>
      <c r="Q464" s="264"/>
      <c r="V464" s="31"/>
    </row>
    <row r="465" spans="2:22">
      <c r="B465" s="198"/>
      <c r="C465" s="198"/>
      <c r="D465" s="77"/>
      <c r="E465" s="78"/>
      <c r="F465" s="78"/>
      <c r="G465" s="199"/>
      <c r="H465" s="185"/>
      <c r="I465" s="1109">
        <v>59968</v>
      </c>
      <c r="J465" s="1109"/>
      <c r="K465" s="1199"/>
      <c r="L465" s="247">
        <f>SUM(L466:L470)</f>
        <v>23082.5</v>
      </c>
      <c r="M465" s="247">
        <f t="shared" ref="M465:N465" si="199">SUM(M466:M470)</f>
        <v>0</v>
      </c>
      <c r="N465" s="247">
        <f t="shared" si="199"/>
        <v>23082.5</v>
      </c>
      <c r="O465" s="186">
        <f>N465+I465</f>
        <v>83050.5</v>
      </c>
      <c r="Q465" s="186"/>
      <c r="R465" s="247">
        <f t="shared" ref="R465:S465" si="200">SUM(R466:R470)</f>
        <v>0</v>
      </c>
      <c r="S465" s="247">
        <f t="shared" si="200"/>
        <v>16211</v>
      </c>
      <c r="V465" s="31"/>
    </row>
    <row r="466" spans="2:22" ht="30">
      <c r="B466" s="263" t="s">
        <v>3285</v>
      </c>
      <c r="C466" s="263"/>
      <c r="D466" s="182" t="s">
        <v>3286</v>
      </c>
      <c r="E466" s="419">
        <v>41191</v>
      </c>
      <c r="F466" s="419" t="s">
        <v>5957</v>
      </c>
      <c r="G466" s="98" t="s">
        <v>5941</v>
      </c>
      <c r="H466" s="185"/>
      <c r="I466" s="266"/>
      <c r="J466" s="266"/>
      <c r="L466" s="186">
        <v>2000</v>
      </c>
      <c r="M466" s="203"/>
      <c r="N466" s="203">
        <f>SUM(K466:M466)</f>
        <v>2000</v>
      </c>
      <c r="O466" s="186"/>
      <c r="P466" s="647" t="s">
        <v>110</v>
      </c>
      <c r="Q466" s="1136" t="s">
        <v>105</v>
      </c>
      <c r="V466" s="31" t="s">
        <v>227</v>
      </c>
    </row>
    <row r="467" spans="2:22" ht="105">
      <c r="B467" s="263" t="s">
        <v>1513</v>
      </c>
      <c r="C467" s="263"/>
      <c r="D467" s="77" t="s">
        <v>3287</v>
      </c>
      <c r="E467" s="78">
        <v>41295</v>
      </c>
      <c r="F467" s="78" t="s">
        <v>5957</v>
      </c>
      <c r="G467" s="98" t="s">
        <v>5958</v>
      </c>
      <c r="H467" s="185"/>
      <c r="I467" s="266"/>
      <c r="J467" s="266"/>
      <c r="L467" s="264">
        <v>2000</v>
      </c>
      <c r="M467" s="246"/>
      <c r="N467" s="264">
        <f t="shared" si="198"/>
        <v>2000</v>
      </c>
      <c r="O467" s="264"/>
      <c r="P467" s="647" t="s">
        <v>110</v>
      </c>
      <c r="Q467" s="1136" t="s">
        <v>105</v>
      </c>
      <c r="V467" s="31" t="s">
        <v>227</v>
      </c>
    </row>
    <row r="468" spans="2:22" ht="105">
      <c r="B468" s="263" t="s">
        <v>1513</v>
      </c>
      <c r="C468" s="263"/>
      <c r="D468" s="77" t="s">
        <v>3288</v>
      </c>
      <c r="E468" s="78">
        <v>41312</v>
      </c>
      <c r="F468" s="78" t="s">
        <v>5957</v>
      </c>
      <c r="G468" s="98" t="s">
        <v>5958</v>
      </c>
      <c r="H468" s="185"/>
      <c r="I468" s="266"/>
      <c r="J468" s="266"/>
      <c r="L468" s="264">
        <v>19082.5</v>
      </c>
      <c r="M468" s="246"/>
      <c r="N468" s="264">
        <f t="shared" si="198"/>
        <v>19082.5</v>
      </c>
      <c r="O468" s="264"/>
      <c r="P468" s="647" t="s">
        <v>110</v>
      </c>
      <c r="Q468" s="1136" t="s">
        <v>105</v>
      </c>
      <c r="S468" s="1003">
        <v>14453.5</v>
      </c>
      <c r="T468" s="1115" t="s">
        <v>6213</v>
      </c>
      <c r="V468" s="31" t="s">
        <v>227</v>
      </c>
    </row>
    <row r="469" spans="2:22" ht="105">
      <c r="B469" s="263" t="s">
        <v>3289</v>
      </c>
      <c r="C469" s="263"/>
      <c r="D469" s="77" t="s">
        <v>3290</v>
      </c>
      <c r="E469" s="78">
        <v>41341</v>
      </c>
      <c r="F469" s="78" t="s">
        <v>5957</v>
      </c>
      <c r="G469" s="98" t="s">
        <v>5958</v>
      </c>
      <c r="H469" s="185"/>
      <c r="I469" s="266"/>
      <c r="J469" s="266"/>
      <c r="L469" s="264">
        <v>-2000</v>
      </c>
      <c r="M469" s="246"/>
      <c r="N469" s="264">
        <f t="shared" si="198"/>
        <v>-2000</v>
      </c>
      <c r="O469" s="264"/>
      <c r="P469" s="647" t="s">
        <v>110</v>
      </c>
      <c r="Q469" s="1136" t="s">
        <v>105</v>
      </c>
      <c r="V469" s="31" t="s">
        <v>227</v>
      </c>
    </row>
    <row r="470" spans="2:22" ht="105">
      <c r="B470" s="263" t="s">
        <v>1513</v>
      </c>
      <c r="C470" s="263"/>
      <c r="D470" s="77" t="s">
        <v>3291</v>
      </c>
      <c r="E470" s="78">
        <v>41341</v>
      </c>
      <c r="F470" s="78" t="s">
        <v>5957</v>
      </c>
      <c r="G470" s="98" t="s">
        <v>5958</v>
      </c>
      <c r="H470" s="185"/>
      <c r="I470" s="266"/>
      <c r="J470" s="266"/>
      <c r="L470" s="264">
        <v>2000</v>
      </c>
      <c r="M470" s="246"/>
      <c r="N470" s="264">
        <f t="shared" si="198"/>
        <v>2000</v>
      </c>
      <c r="O470" s="264"/>
      <c r="P470" s="647" t="s">
        <v>110</v>
      </c>
      <c r="Q470" s="1136" t="s">
        <v>105</v>
      </c>
      <c r="S470" s="1003">
        <v>1757.5</v>
      </c>
      <c r="T470" s="1115" t="s">
        <v>6214</v>
      </c>
      <c r="V470" s="31" t="s">
        <v>227</v>
      </c>
    </row>
    <row r="471" spans="2:22">
      <c r="B471" s="263"/>
      <c r="C471" s="263"/>
      <c r="D471" s="77"/>
      <c r="E471" s="78"/>
      <c r="F471" s="78"/>
      <c r="G471" s="185"/>
      <c r="H471" s="185"/>
      <c r="I471" s="266"/>
      <c r="J471" s="266"/>
      <c r="L471" s="264"/>
      <c r="M471" s="246"/>
      <c r="N471" s="264"/>
      <c r="O471" s="264"/>
      <c r="Q471" s="264"/>
      <c r="V471" s="31"/>
    </row>
    <row r="472" spans="2:22">
      <c r="B472" s="263"/>
      <c r="C472" s="263"/>
      <c r="D472" s="77"/>
      <c r="E472" s="78"/>
      <c r="F472" s="78"/>
      <c r="G472" s="199"/>
      <c r="H472" s="185"/>
      <c r="I472" s="266">
        <v>24618</v>
      </c>
      <c r="J472" s="266"/>
      <c r="K472" s="1199"/>
      <c r="L472" s="247">
        <f>L473+L474+L475</f>
        <v>15000</v>
      </c>
      <c r="M472" s="247">
        <f t="shared" ref="M472:N472" si="201">M473+M474+M475</f>
        <v>0</v>
      </c>
      <c r="N472" s="247">
        <f t="shared" si="201"/>
        <v>15000</v>
      </c>
      <c r="O472" s="186">
        <f>N472+I472</f>
        <v>39618</v>
      </c>
      <c r="Q472" s="186"/>
      <c r="R472" s="247">
        <f t="shared" ref="R472:S472" si="202">R473+R474+R475</f>
        <v>0</v>
      </c>
      <c r="S472" s="247">
        <f t="shared" si="202"/>
        <v>11520</v>
      </c>
      <c r="V472" s="31"/>
    </row>
    <row r="473" spans="2:22" ht="30">
      <c r="B473" s="263" t="s">
        <v>1513</v>
      </c>
      <c r="C473" s="263"/>
      <c r="D473" s="77" t="s">
        <v>3292</v>
      </c>
      <c r="E473" s="78">
        <v>41288</v>
      </c>
      <c r="F473" s="78" t="s">
        <v>5270</v>
      </c>
      <c r="G473" s="198" t="s">
        <v>5959</v>
      </c>
      <c r="H473" s="185"/>
      <c r="I473" s="264"/>
      <c r="J473" s="264"/>
      <c r="L473" s="264">
        <v>3000</v>
      </c>
      <c r="M473" s="246"/>
      <c r="N473" s="264">
        <f t="shared" si="198"/>
        <v>3000</v>
      </c>
      <c r="O473" s="264"/>
      <c r="P473" s="647" t="s">
        <v>110</v>
      </c>
      <c r="Q473" s="1136" t="s">
        <v>105</v>
      </c>
      <c r="S473" s="1003">
        <v>2890</v>
      </c>
      <c r="T473" s="1115" t="s">
        <v>6215</v>
      </c>
      <c r="V473" s="31" t="s">
        <v>227</v>
      </c>
    </row>
    <row r="474" spans="2:22" ht="30">
      <c r="B474" s="263" t="s">
        <v>1513</v>
      </c>
      <c r="C474" s="263"/>
      <c r="D474" s="77" t="s">
        <v>3293</v>
      </c>
      <c r="E474" s="78">
        <v>41289</v>
      </c>
      <c r="F474" s="78" t="s">
        <v>5270</v>
      </c>
      <c r="G474" s="198" t="s">
        <v>5959</v>
      </c>
      <c r="H474" s="185"/>
      <c r="I474" s="264"/>
      <c r="J474" s="264"/>
      <c r="L474" s="264">
        <v>5000</v>
      </c>
      <c r="M474" s="246"/>
      <c r="N474" s="264">
        <f t="shared" si="198"/>
        <v>5000</v>
      </c>
      <c r="O474" s="264"/>
      <c r="P474" s="647" t="s">
        <v>110</v>
      </c>
      <c r="Q474" s="1136" t="s">
        <v>105</v>
      </c>
      <c r="S474" s="1003">
        <v>5000</v>
      </c>
      <c r="T474" s="1115" t="s">
        <v>6216</v>
      </c>
      <c r="V474" s="31" t="s">
        <v>227</v>
      </c>
    </row>
    <row r="475" spans="2:22" ht="30">
      <c r="B475" s="263" t="s">
        <v>3285</v>
      </c>
      <c r="C475" s="263"/>
      <c r="D475" s="182" t="s">
        <v>3294</v>
      </c>
      <c r="E475" s="419">
        <v>41250</v>
      </c>
      <c r="F475" s="78" t="s">
        <v>5270</v>
      </c>
      <c r="G475" s="198" t="s">
        <v>5959</v>
      </c>
      <c r="H475" s="185"/>
      <c r="I475" s="264"/>
      <c r="J475" s="264"/>
      <c r="L475" s="186">
        <v>7000</v>
      </c>
      <c r="M475" s="203"/>
      <c r="N475" s="203">
        <f t="shared" si="198"/>
        <v>7000</v>
      </c>
      <c r="O475" s="186"/>
      <c r="P475" s="647" t="s">
        <v>110</v>
      </c>
      <c r="Q475" s="1136" t="s">
        <v>105</v>
      </c>
      <c r="S475" s="1003">
        <v>3630</v>
      </c>
      <c r="T475" s="1115" t="s">
        <v>6217</v>
      </c>
      <c r="V475" s="31" t="s">
        <v>227</v>
      </c>
    </row>
    <row r="476" spans="2:22">
      <c r="B476" s="198"/>
      <c r="C476" s="198"/>
      <c r="D476" s="182"/>
      <c r="E476" s="419"/>
      <c r="F476" s="419"/>
      <c r="G476" s="185"/>
      <c r="H476" s="185"/>
      <c r="I476" s="264"/>
      <c r="J476" s="264"/>
      <c r="L476" s="186"/>
      <c r="M476" s="203"/>
      <c r="N476" s="203"/>
      <c r="O476" s="186"/>
      <c r="Q476" s="186"/>
      <c r="V476" s="31"/>
    </row>
    <row r="477" spans="2:22">
      <c r="B477" s="198"/>
      <c r="C477" s="198"/>
      <c r="D477" s="182"/>
      <c r="E477" s="419"/>
      <c r="F477" s="419"/>
      <c r="G477" s="199"/>
      <c r="H477" s="185"/>
      <c r="I477" s="264">
        <v>49963</v>
      </c>
      <c r="J477" s="264"/>
      <c r="K477" s="1199"/>
      <c r="L477" s="294">
        <f>L478+L479+L480</f>
        <v>11800.575000000001</v>
      </c>
      <c r="M477" s="294">
        <f t="shared" ref="M477:N477" si="203">M478+M479+M480</f>
        <v>0</v>
      </c>
      <c r="N477" s="294">
        <f t="shared" si="203"/>
        <v>11800.575000000001</v>
      </c>
      <c r="O477" s="186">
        <f>N477+I477</f>
        <v>61763.574999999997</v>
      </c>
      <c r="Q477" s="186"/>
      <c r="R477" s="294">
        <f t="shared" ref="R477" si="204">R478+R479+R480</f>
        <v>11776.41547</v>
      </c>
      <c r="S477" s="294">
        <f>S478+S479+S480</f>
        <v>9330.1979700000011</v>
      </c>
      <c r="V477" s="31"/>
    </row>
    <row r="478" spans="2:22" ht="30">
      <c r="B478" s="263" t="s">
        <v>1513</v>
      </c>
      <c r="C478" s="263"/>
      <c r="D478" s="77" t="s">
        <v>3295</v>
      </c>
      <c r="E478" s="78">
        <v>41319</v>
      </c>
      <c r="F478" s="78" t="s">
        <v>5960</v>
      </c>
      <c r="G478" s="98" t="s">
        <v>5961</v>
      </c>
      <c r="H478" s="185"/>
      <c r="I478" s="337"/>
      <c r="J478" s="337"/>
      <c r="L478" s="264">
        <v>5000</v>
      </c>
      <c r="M478" s="246"/>
      <c r="N478" s="264">
        <f t="shared" si="198"/>
        <v>5000</v>
      </c>
      <c r="O478" s="264"/>
      <c r="P478" s="647" t="s">
        <v>110</v>
      </c>
      <c r="Q478" s="1136" t="s">
        <v>105</v>
      </c>
      <c r="R478" s="1011">
        <v>4977.33547</v>
      </c>
      <c r="S478" s="1011">
        <v>4977.33547</v>
      </c>
      <c r="T478" s="1006">
        <v>778</v>
      </c>
      <c r="V478" s="31" t="s">
        <v>227</v>
      </c>
    </row>
    <row r="479" spans="2:22" ht="30">
      <c r="B479" s="263" t="s">
        <v>225</v>
      </c>
      <c r="C479" s="263"/>
      <c r="D479" s="77" t="s">
        <v>3296</v>
      </c>
      <c r="E479" s="78">
        <v>41339</v>
      </c>
      <c r="F479" s="78" t="s">
        <v>5960</v>
      </c>
      <c r="G479" s="98" t="s">
        <v>5961</v>
      </c>
      <c r="H479" s="185"/>
      <c r="I479" s="337"/>
      <c r="J479" s="337"/>
      <c r="L479" s="264">
        <v>6700.5749999999998</v>
      </c>
      <c r="M479" s="246"/>
      <c r="N479" s="264">
        <f t="shared" si="198"/>
        <v>6700.5749999999998</v>
      </c>
      <c r="O479" s="264"/>
      <c r="P479" s="647" t="s">
        <v>110</v>
      </c>
      <c r="Q479" s="1136" t="s">
        <v>105</v>
      </c>
      <c r="R479" s="1011">
        <v>6699.08</v>
      </c>
      <c r="S479" s="1011">
        <v>4268.8625000000002</v>
      </c>
      <c r="T479" s="1006">
        <v>2187</v>
      </c>
      <c r="V479" s="31" t="s">
        <v>227</v>
      </c>
    </row>
    <row r="480" spans="2:22" ht="105">
      <c r="B480" s="263" t="s">
        <v>1513</v>
      </c>
      <c r="C480" s="263"/>
      <c r="D480" s="182" t="s">
        <v>3297</v>
      </c>
      <c r="E480" s="419">
        <v>41260</v>
      </c>
      <c r="F480" s="419" t="s">
        <v>5960</v>
      </c>
      <c r="G480" s="98" t="s">
        <v>5962</v>
      </c>
      <c r="H480" s="185"/>
      <c r="I480" s="337"/>
      <c r="J480" s="337"/>
      <c r="L480" s="186">
        <v>100</v>
      </c>
      <c r="M480" s="203"/>
      <c r="N480" s="203">
        <f t="shared" si="198"/>
        <v>100</v>
      </c>
      <c r="O480" s="186"/>
      <c r="P480" s="647" t="s">
        <v>110</v>
      </c>
      <c r="Q480" s="1136" t="s">
        <v>105</v>
      </c>
      <c r="R480" s="1011">
        <v>100</v>
      </c>
      <c r="S480" s="1011">
        <v>84</v>
      </c>
      <c r="T480" s="1006">
        <v>21</v>
      </c>
      <c r="V480" s="31" t="s">
        <v>227</v>
      </c>
    </row>
    <row r="481" spans="2:22">
      <c r="B481" s="263"/>
      <c r="C481" s="263"/>
      <c r="D481" s="182"/>
      <c r="E481" s="419"/>
      <c r="F481" s="419"/>
      <c r="G481" s="185"/>
      <c r="H481" s="185"/>
      <c r="I481" s="337"/>
      <c r="J481" s="337"/>
      <c r="L481" s="186"/>
      <c r="M481" s="203"/>
      <c r="N481" s="203"/>
      <c r="O481" s="186"/>
      <c r="Q481" s="186"/>
      <c r="V481" s="31"/>
    </row>
    <row r="482" spans="2:22">
      <c r="B482" s="263"/>
      <c r="C482" s="263"/>
      <c r="D482" s="182"/>
      <c r="E482" s="419"/>
      <c r="F482" s="419"/>
      <c r="G482" s="199"/>
      <c r="H482" s="185"/>
      <c r="I482" s="337">
        <v>59636</v>
      </c>
      <c r="J482" s="337"/>
      <c r="K482" s="1199"/>
      <c r="L482" s="294">
        <f>L483+L484</f>
        <v>8000</v>
      </c>
      <c r="M482" s="294">
        <f t="shared" ref="M482:N482" si="205">M483+M484</f>
        <v>0</v>
      </c>
      <c r="N482" s="294">
        <f t="shared" si="205"/>
        <v>8000</v>
      </c>
      <c r="O482" s="186">
        <f>N482+I482</f>
        <v>67636</v>
      </c>
      <c r="Q482" s="186"/>
      <c r="R482" s="294">
        <f t="shared" ref="R482:S482" si="206">R483+R484</f>
        <v>0</v>
      </c>
      <c r="S482" s="294">
        <f t="shared" si="206"/>
        <v>1645.5</v>
      </c>
      <c r="V482" s="31"/>
    </row>
    <row r="483" spans="2:22" ht="30">
      <c r="B483" s="263" t="s">
        <v>1513</v>
      </c>
      <c r="C483" s="263"/>
      <c r="D483" s="182" t="s">
        <v>3298</v>
      </c>
      <c r="E483" s="419">
        <v>41173</v>
      </c>
      <c r="F483" s="419" t="s">
        <v>5963</v>
      </c>
      <c r="G483" s="98" t="s">
        <v>5964</v>
      </c>
      <c r="H483" s="185"/>
      <c r="I483" s="186"/>
      <c r="J483" s="186"/>
      <c r="L483" s="186">
        <v>1000</v>
      </c>
      <c r="M483" s="203"/>
      <c r="N483" s="203">
        <f t="shared" si="198"/>
        <v>1000</v>
      </c>
      <c r="O483" s="186"/>
      <c r="P483" s="647" t="s">
        <v>110</v>
      </c>
      <c r="Q483" s="1136" t="s">
        <v>105</v>
      </c>
      <c r="S483" s="1003">
        <v>933</v>
      </c>
      <c r="T483" s="1115" t="s">
        <v>6218</v>
      </c>
      <c r="V483" s="31" t="s">
        <v>227</v>
      </c>
    </row>
    <row r="484" spans="2:22" ht="105">
      <c r="B484" s="263" t="s">
        <v>3299</v>
      </c>
      <c r="C484" s="263"/>
      <c r="D484" s="77" t="s">
        <v>3300</v>
      </c>
      <c r="E484" s="78">
        <v>41283</v>
      </c>
      <c r="F484" s="78" t="s">
        <v>5966</v>
      </c>
      <c r="G484" s="98" t="s">
        <v>5965</v>
      </c>
      <c r="H484" s="185"/>
      <c r="I484" s="186"/>
      <c r="J484" s="186"/>
      <c r="L484" s="264">
        <v>7000</v>
      </c>
      <c r="M484" s="246"/>
      <c r="N484" s="264">
        <f t="shared" si="198"/>
        <v>7000</v>
      </c>
      <c r="O484" s="264"/>
      <c r="P484" s="647" t="s">
        <v>110</v>
      </c>
      <c r="Q484" s="1136" t="s">
        <v>105</v>
      </c>
      <c r="S484" s="1003">
        <v>712.5</v>
      </c>
      <c r="T484" s="1115" t="s">
        <v>6219</v>
      </c>
      <c r="V484" s="31" t="s">
        <v>227</v>
      </c>
    </row>
    <row r="485" spans="2:22">
      <c r="B485" s="198"/>
      <c r="C485" s="198"/>
      <c r="D485" s="77"/>
      <c r="E485" s="78"/>
      <c r="F485" s="78"/>
      <c r="G485" s="185"/>
      <c r="H485" s="185"/>
      <c r="I485" s="186"/>
      <c r="J485" s="186"/>
      <c r="L485" s="264"/>
      <c r="M485" s="246"/>
      <c r="N485" s="264"/>
      <c r="O485" s="264"/>
      <c r="Q485" s="264"/>
      <c r="V485" s="31"/>
    </row>
    <row r="486" spans="2:22">
      <c r="B486" s="198"/>
      <c r="C486" s="198"/>
      <c r="D486" s="77"/>
      <c r="E486" s="78"/>
      <c r="F486" s="78"/>
      <c r="G486" s="199"/>
      <c r="H486" s="185"/>
      <c r="I486" s="186">
        <v>56704</v>
      </c>
      <c r="J486" s="186"/>
      <c r="K486" s="1199"/>
      <c r="L486" s="247">
        <f>L487+L488</f>
        <v>12000</v>
      </c>
      <c r="M486" s="247">
        <f t="shared" ref="M486:N486" si="207">M487+M488</f>
        <v>0</v>
      </c>
      <c r="N486" s="247">
        <f t="shared" si="207"/>
        <v>12000</v>
      </c>
      <c r="O486" s="186">
        <f>N486+I486</f>
        <v>68704</v>
      </c>
      <c r="Q486" s="186"/>
      <c r="R486" s="247">
        <f t="shared" ref="R486:S486" si="208">R487+R488</f>
        <v>11931.5</v>
      </c>
      <c r="S486" s="247">
        <f t="shared" si="208"/>
        <v>11909.5</v>
      </c>
      <c r="V486" s="31"/>
    </row>
    <row r="487" spans="2:22" ht="30">
      <c r="B487" s="263" t="s">
        <v>1513</v>
      </c>
      <c r="C487" s="263"/>
      <c r="D487" s="182" t="s">
        <v>3301</v>
      </c>
      <c r="E487" s="419">
        <v>41250</v>
      </c>
      <c r="F487" s="419" t="s">
        <v>5967</v>
      </c>
      <c r="G487" s="98" t="s">
        <v>5968</v>
      </c>
      <c r="H487" s="185"/>
      <c r="I487" s="186"/>
      <c r="J487" s="186"/>
      <c r="L487" s="186">
        <v>5000</v>
      </c>
      <c r="M487" s="203"/>
      <c r="N487" s="203">
        <f t="shared" si="198"/>
        <v>5000</v>
      </c>
      <c r="O487" s="186"/>
      <c r="P487" s="647" t="s">
        <v>110</v>
      </c>
      <c r="Q487" s="1136" t="s">
        <v>105</v>
      </c>
      <c r="R487" s="1012">
        <v>4959</v>
      </c>
      <c r="S487" s="1012">
        <v>4959</v>
      </c>
      <c r="T487" s="1115">
        <v>706</v>
      </c>
      <c r="V487" s="31" t="s">
        <v>227</v>
      </c>
    </row>
    <row r="488" spans="2:22" ht="30">
      <c r="B488" s="263" t="s">
        <v>1513</v>
      </c>
      <c r="C488" s="263"/>
      <c r="D488" s="77" t="s">
        <v>3302</v>
      </c>
      <c r="E488" s="78">
        <v>41313</v>
      </c>
      <c r="F488" s="78" t="s">
        <v>5967</v>
      </c>
      <c r="G488" s="98" t="s">
        <v>5969</v>
      </c>
      <c r="H488" s="185"/>
      <c r="I488" s="186"/>
      <c r="J488" s="186"/>
      <c r="L488" s="264">
        <v>7000</v>
      </c>
      <c r="M488" s="246"/>
      <c r="N488" s="264">
        <f t="shared" si="198"/>
        <v>7000</v>
      </c>
      <c r="O488" s="264"/>
      <c r="P488" s="647" t="s">
        <v>110</v>
      </c>
      <c r="Q488" s="1136" t="s">
        <v>105</v>
      </c>
      <c r="R488" s="1012">
        <v>6972.5</v>
      </c>
      <c r="S488" s="1012">
        <v>6950.5</v>
      </c>
      <c r="T488" s="1006">
        <v>1150</v>
      </c>
      <c r="V488" s="31" t="s">
        <v>227</v>
      </c>
    </row>
    <row r="489" spans="2:22">
      <c r="B489" s="198"/>
      <c r="C489" s="198"/>
      <c r="D489" s="77"/>
      <c r="E489" s="78"/>
      <c r="F489" s="78"/>
      <c r="G489" s="185"/>
      <c r="H489" s="185"/>
      <c r="I489" s="230"/>
      <c r="J489" s="230"/>
      <c r="L489" s="264"/>
      <c r="M489" s="246"/>
      <c r="N489" s="264"/>
      <c r="O489" s="264"/>
      <c r="Q489" s="264"/>
      <c r="R489" s="620"/>
      <c r="S489" s="620"/>
      <c r="V489" s="31"/>
    </row>
    <row r="490" spans="2:22">
      <c r="B490" s="198"/>
      <c r="C490" s="198"/>
      <c r="D490" s="77"/>
      <c r="E490" s="78"/>
      <c r="F490" s="78"/>
      <c r="G490" s="199"/>
      <c r="H490" s="185"/>
      <c r="I490" s="230">
        <v>43988</v>
      </c>
      <c r="J490" s="230"/>
      <c r="K490" s="1199"/>
      <c r="L490" s="247">
        <f>L491+L492+L493</f>
        <v>8805</v>
      </c>
      <c r="M490" s="247">
        <f t="shared" ref="M490:N490" si="209">M491+M492+M493</f>
        <v>0</v>
      </c>
      <c r="N490" s="247">
        <f t="shared" si="209"/>
        <v>8805</v>
      </c>
      <c r="O490" s="186">
        <f>N490+I490</f>
        <v>52793</v>
      </c>
      <c r="Q490" s="186"/>
      <c r="R490" s="247">
        <f t="shared" ref="R490:S490" si="210">R491+R492+R493</f>
        <v>8802.5</v>
      </c>
      <c r="S490" s="247">
        <f t="shared" si="210"/>
        <v>6415</v>
      </c>
      <c r="V490" s="31"/>
    </row>
    <row r="491" spans="2:22" ht="30">
      <c r="B491" s="263" t="s">
        <v>1513</v>
      </c>
      <c r="C491" s="263"/>
      <c r="D491" s="182" t="s">
        <v>3303</v>
      </c>
      <c r="E491" s="419">
        <v>41173</v>
      </c>
      <c r="F491" s="419" t="s">
        <v>5970</v>
      </c>
      <c r="G491" s="198" t="s">
        <v>5939</v>
      </c>
      <c r="H491" s="185"/>
      <c r="I491" s="1299"/>
      <c r="J491" s="1109"/>
      <c r="L491" s="186">
        <v>2000</v>
      </c>
      <c r="M491" s="203"/>
      <c r="N491" s="203">
        <f>SUM(K491:M491)</f>
        <v>2000</v>
      </c>
      <c r="O491" s="186"/>
      <c r="P491" s="647" t="s">
        <v>110</v>
      </c>
      <c r="Q491" s="1136" t="s">
        <v>105</v>
      </c>
      <c r="R491" s="1003">
        <v>2000</v>
      </c>
      <c r="S491" s="1003">
        <v>1538.5</v>
      </c>
      <c r="T491" s="1115" t="s">
        <v>6181</v>
      </c>
      <c r="V491" s="31" t="s">
        <v>227</v>
      </c>
    </row>
    <row r="492" spans="2:22" ht="30">
      <c r="B492" s="263" t="s">
        <v>1513</v>
      </c>
      <c r="C492" s="263"/>
      <c r="D492" s="77" t="s">
        <v>3304</v>
      </c>
      <c r="E492" s="78">
        <v>41296</v>
      </c>
      <c r="F492" s="419" t="s">
        <v>5970</v>
      </c>
      <c r="G492" s="198" t="s">
        <v>5939</v>
      </c>
      <c r="H492" s="185"/>
      <c r="I492" s="1299"/>
      <c r="J492" s="1109"/>
      <c r="L492" s="264">
        <v>5000</v>
      </c>
      <c r="M492" s="246"/>
      <c r="N492" s="264">
        <f>SUM(K492:M492)</f>
        <v>5000</v>
      </c>
      <c r="O492" s="264"/>
      <c r="P492" s="647" t="s">
        <v>110</v>
      </c>
      <c r="Q492" s="1136" t="s">
        <v>105</v>
      </c>
      <c r="R492" s="1003">
        <v>4997.5</v>
      </c>
      <c r="S492" s="1003">
        <v>3226.5</v>
      </c>
      <c r="T492" s="1115" t="s">
        <v>6182</v>
      </c>
      <c r="V492" s="31" t="s">
        <v>227</v>
      </c>
    </row>
    <row r="493" spans="2:22" ht="30">
      <c r="B493" s="263" t="s">
        <v>1513</v>
      </c>
      <c r="C493" s="263"/>
      <c r="D493" s="77" t="s">
        <v>3305</v>
      </c>
      <c r="E493" s="78">
        <v>41305</v>
      </c>
      <c r="F493" s="419" t="s">
        <v>5970</v>
      </c>
      <c r="G493" s="198" t="s">
        <v>5939</v>
      </c>
      <c r="H493" s="185"/>
      <c r="I493" s="1299"/>
      <c r="J493" s="1109"/>
      <c r="L493" s="264">
        <v>1805</v>
      </c>
      <c r="M493" s="246"/>
      <c r="N493" s="264">
        <f>SUM(K493:M493)</f>
        <v>1805</v>
      </c>
      <c r="O493" s="264"/>
      <c r="P493" s="647" t="s">
        <v>110</v>
      </c>
      <c r="Q493" s="1136" t="s">
        <v>105</v>
      </c>
      <c r="R493" s="1003">
        <v>1805</v>
      </c>
      <c r="S493" s="1003">
        <v>1650</v>
      </c>
      <c r="T493" s="1115" t="s">
        <v>6183</v>
      </c>
      <c r="V493" s="31" t="s">
        <v>227</v>
      </c>
    </row>
    <row r="494" spans="2:22" ht="30">
      <c r="B494" s="263" t="s">
        <v>1513</v>
      </c>
      <c r="C494" s="263"/>
      <c r="D494" s="77" t="s">
        <v>3306</v>
      </c>
      <c r="E494" s="78">
        <v>41417</v>
      </c>
      <c r="F494" s="419" t="s">
        <v>5970</v>
      </c>
      <c r="G494" s="198" t="s">
        <v>5939</v>
      </c>
      <c r="H494" s="185"/>
      <c r="I494" s="1109"/>
      <c r="J494" s="1109"/>
      <c r="L494" s="264">
        <v>0</v>
      </c>
      <c r="M494" s="246"/>
      <c r="N494" s="264">
        <v>0</v>
      </c>
      <c r="O494" s="264"/>
      <c r="P494" s="647" t="s">
        <v>110</v>
      </c>
      <c r="Q494" s="1136" t="s">
        <v>105</v>
      </c>
      <c r="R494" s="1003"/>
      <c r="S494" s="1003"/>
      <c r="T494" s="1115"/>
      <c r="V494" s="31" t="s">
        <v>227</v>
      </c>
    </row>
    <row r="495" spans="2:22">
      <c r="B495" s="198"/>
      <c r="C495" s="198"/>
      <c r="D495" s="77"/>
      <c r="E495" s="78"/>
      <c r="F495" s="78"/>
      <c r="G495" s="185"/>
      <c r="H495" s="185"/>
      <c r="I495" s="1109"/>
      <c r="J495" s="1109"/>
      <c r="L495" s="264"/>
      <c r="M495" s="246"/>
      <c r="N495" s="264"/>
      <c r="O495" s="264"/>
      <c r="Q495" s="264"/>
      <c r="R495" s="1003"/>
      <c r="S495" s="1003"/>
      <c r="T495" s="1115"/>
      <c r="V495" s="31"/>
    </row>
    <row r="496" spans="2:22">
      <c r="B496" s="198"/>
      <c r="C496" s="198"/>
      <c r="D496" s="77"/>
      <c r="E496" s="78"/>
      <c r="F496" s="78"/>
      <c r="G496" s="185"/>
      <c r="H496" s="185"/>
      <c r="I496" s="1109"/>
      <c r="J496" s="1109"/>
      <c r="L496" s="264"/>
      <c r="M496" s="246"/>
      <c r="N496" s="264"/>
      <c r="O496" s="264"/>
      <c r="Q496" s="264"/>
      <c r="R496" s="1003"/>
      <c r="S496" s="1003"/>
      <c r="T496" s="1115"/>
      <c r="V496" s="31"/>
    </row>
    <row r="497" spans="2:22" ht="30">
      <c r="B497" s="263" t="s">
        <v>1513</v>
      </c>
      <c r="C497" s="263"/>
      <c r="D497" s="182" t="s">
        <v>3307</v>
      </c>
      <c r="E497" s="419">
        <v>41260</v>
      </c>
      <c r="F497" s="419" t="s">
        <v>5971</v>
      </c>
      <c r="G497" s="185" t="s">
        <v>5972</v>
      </c>
      <c r="H497" s="185"/>
      <c r="I497" s="186">
        <v>5430</v>
      </c>
      <c r="J497" s="186"/>
      <c r="L497" s="184">
        <v>1000</v>
      </c>
      <c r="M497" s="201"/>
      <c r="N497" s="201">
        <f>SUM(K497:M497)</f>
        <v>1000</v>
      </c>
      <c r="O497" s="186">
        <f>N497+I497</f>
        <v>6430</v>
      </c>
      <c r="P497" s="647" t="s">
        <v>110</v>
      </c>
      <c r="Q497" s="1136" t="s">
        <v>105</v>
      </c>
      <c r="R497" s="1003">
        <v>1000</v>
      </c>
      <c r="S497" s="1003">
        <v>854.5</v>
      </c>
      <c r="T497" s="1115" t="s">
        <v>6184</v>
      </c>
      <c r="V497" s="31" t="s">
        <v>3308</v>
      </c>
    </row>
    <row r="498" spans="2:22">
      <c r="B498" s="198"/>
      <c r="C498" s="198"/>
      <c r="D498" s="182"/>
      <c r="E498" s="419"/>
      <c r="F498" s="419"/>
      <c r="G498" s="185"/>
      <c r="H498" s="185"/>
      <c r="I498" s="186"/>
      <c r="J498" s="186"/>
      <c r="L498" s="186"/>
      <c r="M498" s="203"/>
      <c r="N498" s="203"/>
      <c r="O498" s="186"/>
      <c r="Q498" s="186"/>
      <c r="V498" s="31"/>
    </row>
    <row r="499" spans="2:22">
      <c r="B499" s="198"/>
      <c r="C499" s="198"/>
      <c r="D499" s="182"/>
      <c r="E499" s="419"/>
      <c r="F499" s="419"/>
      <c r="G499" s="199"/>
      <c r="H499" s="185"/>
      <c r="I499" s="186">
        <v>32930</v>
      </c>
      <c r="J499" s="186"/>
      <c r="K499" s="1199"/>
      <c r="L499" s="294">
        <f>L500+L501</f>
        <v>15000</v>
      </c>
      <c r="M499" s="294">
        <f t="shared" ref="M499:N499" si="211">M500+M501</f>
        <v>0</v>
      </c>
      <c r="N499" s="294">
        <f t="shared" si="211"/>
        <v>15000</v>
      </c>
      <c r="O499" s="186">
        <f>N499+I499</f>
        <v>47930</v>
      </c>
      <c r="Q499" s="186"/>
      <c r="R499" s="294">
        <f t="shared" ref="R499" si="212">R500+R501</f>
        <v>0</v>
      </c>
      <c r="S499" s="294"/>
      <c r="V499" s="31"/>
    </row>
    <row r="500" spans="2:22" ht="105">
      <c r="B500" s="263" t="s">
        <v>1513</v>
      </c>
      <c r="C500" s="263"/>
      <c r="D500" s="182" t="s">
        <v>3309</v>
      </c>
      <c r="E500" s="419">
        <v>41253</v>
      </c>
      <c r="F500" s="419" t="s">
        <v>5275</v>
      </c>
      <c r="G500" s="98" t="s">
        <v>5973</v>
      </c>
      <c r="H500" s="185"/>
      <c r="I500" s="266"/>
      <c r="J500" s="266"/>
      <c r="L500" s="186">
        <v>10000</v>
      </c>
      <c r="M500" s="203"/>
      <c r="N500" s="203">
        <f>SUM(K500:M500)</f>
        <v>10000</v>
      </c>
      <c r="O500" s="186"/>
      <c r="P500" s="647" t="s">
        <v>110</v>
      </c>
      <c r="Q500" s="1136" t="s">
        <v>105</v>
      </c>
      <c r="S500" s="1010" t="s">
        <v>3310</v>
      </c>
      <c r="T500" s="1115" t="s">
        <v>6220</v>
      </c>
      <c r="V500" s="31" t="s">
        <v>227</v>
      </c>
    </row>
    <row r="501" spans="2:22" ht="30">
      <c r="B501" s="263" t="s">
        <v>225</v>
      </c>
      <c r="C501" s="263"/>
      <c r="D501" s="77" t="s">
        <v>3311</v>
      </c>
      <c r="E501" s="78">
        <v>41348</v>
      </c>
      <c r="F501" s="78" t="s">
        <v>5275</v>
      </c>
      <c r="G501" s="98" t="s">
        <v>5974</v>
      </c>
      <c r="H501" s="185"/>
      <c r="I501" s="266"/>
      <c r="J501" s="266"/>
      <c r="L501" s="264">
        <v>5000</v>
      </c>
      <c r="M501" s="246"/>
      <c r="N501" s="264">
        <f t="shared" si="198"/>
        <v>5000</v>
      </c>
      <c r="O501" s="186"/>
      <c r="P501" s="647" t="s">
        <v>110</v>
      </c>
      <c r="Q501" s="1136" t="s">
        <v>105</v>
      </c>
      <c r="T501" s="1115" t="s">
        <v>3312</v>
      </c>
      <c r="V501" s="31" t="s">
        <v>227</v>
      </c>
    </row>
    <row r="502" spans="2:22">
      <c r="B502" s="198"/>
      <c r="C502" s="198"/>
      <c r="D502" s="77"/>
      <c r="E502" s="78"/>
      <c r="F502" s="78"/>
      <c r="G502" s="185"/>
      <c r="H502" s="185"/>
      <c r="I502" s="1109"/>
      <c r="J502" s="1109"/>
      <c r="L502" s="264"/>
      <c r="M502" s="246"/>
      <c r="N502" s="264"/>
      <c r="O502" s="264"/>
      <c r="Q502" s="264"/>
      <c r="V502" s="31"/>
    </row>
    <row r="503" spans="2:22">
      <c r="B503" s="263" t="s">
        <v>3313</v>
      </c>
      <c r="C503" s="263"/>
      <c r="D503" s="77" t="s">
        <v>3314</v>
      </c>
      <c r="E503" s="78">
        <v>41358</v>
      </c>
      <c r="F503" s="78" t="s">
        <v>5975</v>
      </c>
      <c r="G503" s="185" t="s">
        <v>5976</v>
      </c>
      <c r="H503" s="185"/>
      <c r="I503" s="264">
        <v>34042</v>
      </c>
      <c r="J503" s="264"/>
      <c r="L503" s="246">
        <v>7000</v>
      </c>
      <c r="M503" s="246"/>
      <c r="N503" s="246">
        <f t="shared" si="198"/>
        <v>7000</v>
      </c>
      <c r="O503" s="186">
        <f>N503+I503</f>
        <v>41042</v>
      </c>
      <c r="Q503" s="186"/>
      <c r="V503" s="31" t="s">
        <v>3315</v>
      </c>
    </row>
    <row r="504" spans="2:22">
      <c r="L504" s="715"/>
      <c r="M504" s="715"/>
      <c r="N504" s="715"/>
      <c r="O504" s="715"/>
      <c r="Q504" s="328"/>
    </row>
    <row r="505" spans="2:22">
      <c r="B505" s="1197" t="s">
        <v>65</v>
      </c>
      <c r="C505" s="1197"/>
      <c r="K505" s="1204"/>
      <c r="L505" s="1204"/>
      <c r="M505" s="479">
        <f>M506+M522+M564</f>
        <v>3943865.0130000003</v>
      </c>
      <c r="N505" s="479">
        <f>N506+N522+N564</f>
        <v>3943865.0130000003</v>
      </c>
      <c r="O505" s="715"/>
      <c r="Q505" s="328"/>
      <c r="R505" s="479">
        <f t="shared" ref="R505:S505" si="213">R506+R522+R564</f>
        <v>0</v>
      </c>
      <c r="S505" s="479">
        <f t="shared" si="213"/>
        <v>0</v>
      </c>
    </row>
    <row r="506" spans="2:22">
      <c r="B506" s="86"/>
      <c r="C506" s="86"/>
      <c r="D506" s="69"/>
      <c r="E506" s="13"/>
      <c r="F506" s="13"/>
      <c r="G506" s="634"/>
      <c r="H506" s="634"/>
      <c r="I506" s="67"/>
      <c r="J506" s="607"/>
      <c r="K506" s="1204"/>
      <c r="L506" s="1204"/>
      <c r="M506" s="140">
        <f>SUM(M507:M520)</f>
        <v>940297.72399999993</v>
      </c>
      <c r="N506" s="140">
        <f>SUM(N507:N520)</f>
        <v>940297.72399999993</v>
      </c>
      <c r="O506" s="715"/>
      <c r="Q506" s="328"/>
      <c r="R506" s="140">
        <f t="shared" ref="R506:S506" si="214">SUM(R507:R520)</f>
        <v>0</v>
      </c>
      <c r="S506" s="140">
        <f t="shared" si="214"/>
        <v>0</v>
      </c>
    </row>
    <row r="507" spans="2:22" ht="30">
      <c r="B507" s="91" t="s">
        <v>3316</v>
      </c>
      <c r="C507" s="91"/>
      <c r="D507" s="69" t="s">
        <v>3317</v>
      </c>
      <c r="E507" s="13">
        <v>41110</v>
      </c>
      <c r="F507" s="718" t="s">
        <v>5002</v>
      </c>
      <c r="G507" s="1230" t="s">
        <v>5001</v>
      </c>
      <c r="H507" s="18"/>
      <c r="I507" s="67"/>
      <c r="J507" s="607"/>
      <c r="L507" s="715"/>
      <c r="M507" s="67">
        <v>10000</v>
      </c>
      <c r="N507" s="264">
        <f t="shared" ref="N507:N520" si="215">SUM(K507:M507)</f>
        <v>10000</v>
      </c>
      <c r="O507" s="715"/>
      <c r="P507" s="647" t="s">
        <v>110</v>
      </c>
      <c r="Q507" s="1136" t="s">
        <v>103</v>
      </c>
      <c r="V507" s="15" t="s">
        <v>2821</v>
      </c>
    </row>
    <row r="508" spans="2:22" ht="30">
      <c r="B508" s="91" t="s">
        <v>3316</v>
      </c>
      <c r="C508" s="91"/>
      <c r="D508" s="69" t="s">
        <v>3318</v>
      </c>
      <c r="E508" s="13">
        <v>41110</v>
      </c>
      <c r="F508" s="718" t="s">
        <v>5002</v>
      </c>
      <c r="G508" s="1230" t="s">
        <v>5001</v>
      </c>
      <c r="H508" s="18"/>
      <c r="I508" s="67"/>
      <c r="J508" s="607"/>
      <c r="L508" s="715"/>
      <c r="M508" s="67">
        <v>4000</v>
      </c>
      <c r="N508" s="264">
        <f t="shared" si="215"/>
        <v>4000</v>
      </c>
      <c r="O508" s="715"/>
      <c r="P508" s="647" t="s">
        <v>110</v>
      </c>
      <c r="Q508" s="1136" t="s">
        <v>103</v>
      </c>
      <c r="V508" s="15" t="s">
        <v>2821</v>
      </c>
    </row>
    <row r="509" spans="2:22" ht="45">
      <c r="B509" s="91" t="s">
        <v>3319</v>
      </c>
      <c r="C509" s="91"/>
      <c r="D509" s="214" t="s">
        <v>3320</v>
      </c>
      <c r="E509" s="13">
        <v>41110</v>
      </c>
      <c r="F509" s="26" t="s">
        <v>5977</v>
      </c>
      <c r="G509" s="18" t="s">
        <v>122</v>
      </c>
      <c r="H509" s="18"/>
      <c r="I509" s="67"/>
      <c r="J509" s="607"/>
      <c r="L509" s="715"/>
      <c r="M509" s="67">
        <v>60000</v>
      </c>
      <c r="N509" s="264">
        <f t="shared" si="215"/>
        <v>60000</v>
      </c>
      <c r="O509" s="715"/>
      <c r="P509" s="647" t="s">
        <v>110</v>
      </c>
      <c r="Q509" s="1136" t="s">
        <v>103</v>
      </c>
      <c r="V509" s="15" t="s">
        <v>2821</v>
      </c>
    </row>
    <row r="510" spans="2:22" ht="30">
      <c r="B510" s="89" t="s">
        <v>3321</v>
      </c>
      <c r="C510" s="89"/>
      <c r="D510" s="69" t="s">
        <v>3322</v>
      </c>
      <c r="E510" s="13">
        <v>41113</v>
      </c>
      <c r="F510" s="26" t="s">
        <v>5977</v>
      </c>
      <c r="G510" s="18" t="s">
        <v>122</v>
      </c>
      <c r="H510" s="18"/>
      <c r="I510" s="67"/>
      <c r="J510" s="607"/>
      <c r="L510" s="715"/>
      <c r="M510" s="67">
        <v>50000</v>
      </c>
      <c r="N510" s="264">
        <f t="shared" si="215"/>
        <v>50000</v>
      </c>
      <c r="O510" s="715"/>
      <c r="P510" s="647" t="s">
        <v>110</v>
      </c>
      <c r="Q510" s="1136" t="s">
        <v>103</v>
      </c>
      <c r="V510" s="15" t="s">
        <v>2821</v>
      </c>
    </row>
    <row r="511" spans="2:22" ht="45">
      <c r="B511" s="91" t="s">
        <v>3319</v>
      </c>
      <c r="C511" s="91"/>
      <c r="D511" s="214" t="s">
        <v>3323</v>
      </c>
      <c r="E511" s="13">
        <v>41121</v>
      </c>
      <c r="F511" s="26" t="s">
        <v>5977</v>
      </c>
      <c r="G511" s="18" t="s">
        <v>122</v>
      </c>
      <c r="H511" s="18"/>
      <c r="I511" s="67"/>
      <c r="J511" s="607"/>
      <c r="L511" s="715"/>
      <c r="M511" s="67">
        <v>343000</v>
      </c>
      <c r="N511" s="264">
        <f t="shared" si="215"/>
        <v>343000</v>
      </c>
      <c r="O511" s="715"/>
      <c r="P511" s="647" t="s">
        <v>110</v>
      </c>
      <c r="Q511" s="1136" t="s">
        <v>103</v>
      </c>
      <c r="V511" s="15" t="s">
        <v>2821</v>
      </c>
    </row>
    <row r="512" spans="2:22" ht="30">
      <c r="B512" s="91" t="s">
        <v>3319</v>
      </c>
      <c r="C512" s="91"/>
      <c r="D512" s="69" t="s">
        <v>3324</v>
      </c>
      <c r="E512" s="13">
        <v>41121</v>
      </c>
      <c r="F512" s="26" t="s">
        <v>5977</v>
      </c>
      <c r="G512" s="18" t="s">
        <v>122</v>
      </c>
      <c r="H512" s="18"/>
      <c r="I512" s="67"/>
      <c r="J512" s="607"/>
      <c r="L512" s="715"/>
      <c r="M512" s="67">
        <v>10400</v>
      </c>
      <c r="N512" s="264">
        <f t="shared" si="215"/>
        <v>10400</v>
      </c>
      <c r="O512" s="715"/>
      <c r="P512" s="647" t="s">
        <v>110</v>
      </c>
      <c r="Q512" s="1136" t="s">
        <v>103</v>
      </c>
      <c r="V512" s="15" t="s">
        <v>2821</v>
      </c>
    </row>
    <row r="513" spans="2:22" ht="30">
      <c r="B513" s="91" t="s">
        <v>3319</v>
      </c>
      <c r="C513" s="91"/>
      <c r="D513" s="69" t="s">
        <v>3325</v>
      </c>
      <c r="E513" s="13">
        <v>41131</v>
      </c>
      <c r="F513" s="26" t="s">
        <v>5977</v>
      </c>
      <c r="G513" s="18" t="s">
        <v>122</v>
      </c>
      <c r="H513" s="18"/>
      <c r="I513" s="67"/>
      <c r="J513" s="607"/>
      <c r="L513" s="715"/>
      <c r="M513" s="67">
        <v>237697.72399999999</v>
      </c>
      <c r="N513" s="264">
        <f t="shared" si="215"/>
        <v>237697.72399999999</v>
      </c>
      <c r="O513" s="715"/>
      <c r="P513" s="647" t="s">
        <v>110</v>
      </c>
      <c r="Q513" s="1136" t="s">
        <v>103</v>
      </c>
      <c r="V513" s="15" t="s">
        <v>2821</v>
      </c>
    </row>
    <row r="514" spans="2:22" ht="30">
      <c r="B514" s="91" t="s">
        <v>3319</v>
      </c>
      <c r="C514" s="91"/>
      <c r="D514" s="69" t="s">
        <v>3326</v>
      </c>
      <c r="E514" s="13">
        <v>41131</v>
      </c>
      <c r="F514" s="26" t="s">
        <v>5977</v>
      </c>
      <c r="G514" s="18" t="s">
        <v>122</v>
      </c>
      <c r="H514" s="18"/>
      <c r="I514" s="67"/>
      <c r="J514" s="607"/>
      <c r="L514" s="715"/>
      <c r="M514" s="67">
        <v>50000</v>
      </c>
      <c r="N514" s="264">
        <f t="shared" si="215"/>
        <v>50000</v>
      </c>
      <c r="O514" s="715"/>
      <c r="P514" s="647" t="s">
        <v>110</v>
      </c>
      <c r="Q514" s="1136" t="s">
        <v>103</v>
      </c>
      <c r="V514" s="15" t="s">
        <v>2821</v>
      </c>
    </row>
    <row r="515" spans="2:22" ht="30">
      <c r="B515" s="91" t="s">
        <v>3319</v>
      </c>
      <c r="C515" s="91"/>
      <c r="D515" s="69" t="s">
        <v>3327</v>
      </c>
      <c r="E515" s="13">
        <v>41134</v>
      </c>
      <c r="F515" s="26" t="s">
        <v>5977</v>
      </c>
      <c r="G515" s="18" t="s">
        <v>122</v>
      </c>
      <c r="H515" s="18"/>
      <c r="I515" s="67"/>
      <c r="J515" s="607"/>
      <c r="L515" s="715"/>
      <c r="M515" s="67">
        <v>20000</v>
      </c>
      <c r="N515" s="264">
        <f t="shared" si="215"/>
        <v>20000</v>
      </c>
      <c r="O515" s="715"/>
      <c r="P515" s="647" t="s">
        <v>110</v>
      </c>
      <c r="Q515" s="1136" t="s">
        <v>103</v>
      </c>
      <c r="V515" s="15" t="s">
        <v>2821</v>
      </c>
    </row>
    <row r="516" spans="2:22" ht="30">
      <c r="B516" s="91" t="s">
        <v>3319</v>
      </c>
      <c r="C516" s="91"/>
      <c r="D516" s="69" t="s">
        <v>3328</v>
      </c>
      <c r="E516" s="13">
        <v>41137</v>
      </c>
      <c r="F516" s="26" t="s">
        <v>5977</v>
      </c>
      <c r="G516" s="18" t="s">
        <v>122</v>
      </c>
      <c r="H516" s="18"/>
      <c r="I516" s="67"/>
      <c r="J516" s="607"/>
      <c r="L516" s="715"/>
      <c r="M516" s="67">
        <v>11000</v>
      </c>
      <c r="N516" s="264">
        <f t="shared" si="215"/>
        <v>11000</v>
      </c>
      <c r="O516" s="715"/>
      <c r="P516" s="647" t="s">
        <v>110</v>
      </c>
      <c r="Q516" s="1136" t="s">
        <v>103</v>
      </c>
      <c r="V516" s="15" t="s">
        <v>2821</v>
      </c>
    </row>
    <row r="517" spans="2:22" ht="30">
      <c r="B517" s="91" t="s">
        <v>3319</v>
      </c>
      <c r="C517" s="91"/>
      <c r="D517" s="69" t="s">
        <v>3329</v>
      </c>
      <c r="E517" s="13">
        <v>41137</v>
      </c>
      <c r="F517" s="26" t="s">
        <v>5977</v>
      </c>
      <c r="G517" s="18" t="s">
        <v>122</v>
      </c>
      <c r="H517" s="18"/>
      <c r="I517" s="67"/>
      <c r="J517" s="607"/>
      <c r="L517" s="715"/>
      <c r="M517" s="67">
        <v>25000</v>
      </c>
      <c r="N517" s="264">
        <f t="shared" si="215"/>
        <v>25000</v>
      </c>
      <c r="O517" s="715"/>
      <c r="P517" s="647" t="s">
        <v>110</v>
      </c>
      <c r="Q517" s="1136" t="s">
        <v>103</v>
      </c>
      <c r="V517" s="15" t="s">
        <v>2821</v>
      </c>
    </row>
    <row r="518" spans="2:22" ht="30">
      <c r="B518" s="91" t="s">
        <v>3319</v>
      </c>
      <c r="C518" s="91"/>
      <c r="D518" s="69" t="s">
        <v>3330</v>
      </c>
      <c r="E518" s="13">
        <v>41137</v>
      </c>
      <c r="F518" s="26" t="s">
        <v>5977</v>
      </c>
      <c r="G518" s="18" t="s">
        <v>122</v>
      </c>
      <c r="H518" s="18"/>
      <c r="I518" s="67"/>
      <c r="J518" s="607"/>
      <c r="L518" s="715"/>
      <c r="M518" s="67">
        <v>35000</v>
      </c>
      <c r="N518" s="264">
        <f t="shared" si="215"/>
        <v>35000</v>
      </c>
      <c r="O518" s="715"/>
      <c r="P518" s="647" t="s">
        <v>110</v>
      </c>
      <c r="Q518" s="1136" t="s">
        <v>103</v>
      </c>
      <c r="V518" s="15" t="s">
        <v>2821</v>
      </c>
    </row>
    <row r="519" spans="2:22" ht="45">
      <c r="B519" s="91" t="s">
        <v>3319</v>
      </c>
      <c r="C519" s="91"/>
      <c r="D519" s="214" t="s">
        <v>3331</v>
      </c>
      <c r="E519" s="13">
        <v>41144</v>
      </c>
      <c r="F519" s="26" t="s">
        <v>5977</v>
      </c>
      <c r="G519" s="18" t="s">
        <v>122</v>
      </c>
      <c r="H519" s="18"/>
      <c r="I519" s="67"/>
      <c r="J519" s="607"/>
      <c r="L519" s="715"/>
      <c r="M519" s="67">
        <v>74200</v>
      </c>
      <c r="N519" s="264">
        <f t="shared" si="215"/>
        <v>74200</v>
      </c>
      <c r="O519" s="715"/>
      <c r="P519" s="647" t="s">
        <v>110</v>
      </c>
      <c r="Q519" s="1136" t="s">
        <v>103</v>
      </c>
      <c r="V519" s="15" t="s">
        <v>2821</v>
      </c>
    </row>
    <row r="520" spans="2:22" ht="30">
      <c r="B520" s="91" t="s">
        <v>3319</v>
      </c>
      <c r="C520" s="91"/>
      <c r="D520" s="69" t="s">
        <v>3332</v>
      </c>
      <c r="E520" s="13">
        <v>41166</v>
      </c>
      <c r="F520" s="26" t="s">
        <v>5977</v>
      </c>
      <c r="G520" s="18" t="s">
        <v>122</v>
      </c>
      <c r="H520" s="18"/>
      <c r="I520" s="67"/>
      <c r="J520" s="607"/>
      <c r="L520" s="715"/>
      <c r="M520" s="67">
        <v>10000</v>
      </c>
      <c r="N520" s="264">
        <f t="shared" si="215"/>
        <v>10000</v>
      </c>
      <c r="O520" s="715"/>
      <c r="P520" s="647" t="s">
        <v>110</v>
      </c>
      <c r="Q520" s="1136" t="s">
        <v>103</v>
      </c>
      <c r="V520" s="15" t="s">
        <v>2821</v>
      </c>
    </row>
    <row r="521" spans="2:22">
      <c r="L521" s="715"/>
      <c r="M521" s="715"/>
      <c r="N521" s="715"/>
      <c r="O521" s="715"/>
      <c r="Q521" s="328"/>
    </row>
    <row r="522" spans="2:22">
      <c r="B522" s="86"/>
      <c r="C522" s="86"/>
      <c r="D522" s="69"/>
      <c r="E522" s="13"/>
      <c r="F522" s="13"/>
      <c r="G522" s="18"/>
      <c r="H522" s="18"/>
      <c r="I522" s="67"/>
      <c r="J522" s="607"/>
      <c r="K522" s="1204"/>
      <c r="L522" s="1204"/>
      <c r="M522" s="140">
        <f>SUM(M523:M562)</f>
        <v>1716080.0010000002</v>
      </c>
      <c r="N522" s="140">
        <f>SUM(N523:N562)</f>
        <v>1716080.0010000002</v>
      </c>
      <c r="O522" s="715"/>
      <c r="Q522" s="328"/>
      <c r="R522" s="140">
        <f t="shared" ref="R522:S522" si="216">SUM(R523:R562)</f>
        <v>0</v>
      </c>
      <c r="S522" s="140">
        <f t="shared" si="216"/>
        <v>0</v>
      </c>
    </row>
    <row r="523" spans="2:22" ht="30">
      <c r="B523" s="91" t="s">
        <v>3333</v>
      </c>
      <c r="C523" s="91"/>
      <c r="D523" s="69" t="s">
        <v>3334</v>
      </c>
      <c r="E523" s="13">
        <v>41169</v>
      </c>
      <c r="F523" s="1138" t="s">
        <v>5002</v>
      </c>
      <c r="G523" s="18" t="s">
        <v>486</v>
      </c>
      <c r="H523" s="18"/>
      <c r="I523" s="67"/>
      <c r="J523" s="607"/>
      <c r="L523" s="715"/>
      <c r="M523" s="67">
        <v>4000</v>
      </c>
      <c r="N523" s="264">
        <f t="shared" ref="N523:N562" si="217">SUM(K523:M523)</f>
        <v>4000</v>
      </c>
      <c r="O523" s="715"/>
      <c r="P523" s="647" t="s">
        <v>110</v>
      </c>
      <c r="Q523" s="1136" t="s">
        <v>105</v>
      </c>
      <c r="V523" s="81" t="s">
        <v>237</v>
      </c>
    </row>
    <row r="524" spans="2:22" ht="30">
      <c r="B524" s="91" t="s">
        <v>3335</v>
      </c>
      <c r="C524" s="91"/>
      <c r="D524" s="69" t="s">
        <v>3336</v>
      </c>
      <c r="E524" s="13">
        <v>41169</v>
      </c>
      <c r="F524" s="26" t="s">
        <v>5978</v>
      </c>
      <c r="G524" s="18" t="s">
        <v>486</v>
      </c>
      <c r="H524" s="18"/>
      <c r="I524" s="67"/>
      <c r="J524" s="607"/>
      <c r="L524" s="715"/>
      <c r="M524" s="67">
        <v>7500</v>
      </c>
      <c r="N524" s="264">
        <f t="shared" si="217"/>
        <v>7500</v>
      </c>
      <c r="O524" s="715"/>
      <c r="P524" s="647" t="s">
        <v>110</v>
      </c>
      <c r="Q524" s="1136" t="s">
        <v>105</v>
      </c>
      <c r="V524" s="81" t="s">
        <v>237</v>
      </c>
    </row>
    <row r="525" spans="2:22" ht="30">
      <c r="B525" s="91" t="s">
        <v>3335</v>
      </c>
      <c r="C525" s="91"/>
      <c r="D525" s="69" t="s">
        <v>3337</v>
      </c>
      <c r="E525" s="13">
        <v>41169</v>
      </c>
      <c r="F525" s="26" t="s">
        <v>5978</v>
      </c>
      <c r="G525" s="18" t="s">
        <v>486</v>
      </c>
      <c r="H525" s="18"/>
      <c r="I525" s="67"/>
      <c r="J525" s="607"/>
      <c r="L525" s="715"/>
      <c r="M525" s="67">
        <v>10000</v>
      </c>
      <c r="N525" s="264">
        <f t="shared" si="217"/>
        <v>10000</v>
      </c>
      <c r="O525" s="715"/>
      <c r="P525" s="647" t="s">
        <v>110</v>
      </c>
      <c r="Q525" s="1136" t="s">
        <v>105</v>
      </c>
      <c r="V525" s="81" t="s">
        <v>237</v>
      </c>
    </row>
    <row r="526" spans="2:22" ht="30">
      <c r="B526" s="91" t="s">
        <v>3335</v>
      </c>
      <c r="C526" s="91"/>
      <c r="D526" s="69" t="s">
        <v>3338</v>
      </c>
      <c r="E526" s="13">
        <v>41169</v>
      </c>
      <c r="F526" s="26" t="s">
        <v>5978</v>
      </c>
      <c r="G526" s="18" t="s">
        <v>486</v>
      </c>
      <c r="H526" s="18"/>
      <c r="I526" s="67"/>
      <c r="J526" s="607"/>
      <c r="L526" s="715"/>
      <c r="M526" s="67">
        <v>7500</v>
      </c>
      <c r="N526" s="264">
        <f t="shared" si="217"/>
        <v>7500</v>
      </c>
      <c r="O526" s="715"/>
      <c r="P526" s="647" t="s">
        <v>110</v>
      </c>
      <c r="Q526" s="1136" t="s">
        <v>105</v>
      </c>
      <c r="V526" s="81" t="s">
        <v>237</v>
      </c>
    </row>
    <row r="527" spans="2:22" ht="30">
      <c r="B527" s="91" t="s">
        <v>3333</v>
      </c>
      <c r="C527" s="91"/>
      <c r="D527" s="69" t="s">
        <v>3339</v>
      </c>
      <c r="E527" s="13">
        <v>41191</v>
      </c>
      <c r="F527" s="1138" t="s">
        <v>5002</v>
      </c>
      <c r="G527" s="18" t="s">
        <v>486</v>
      </c>
      <c r="H527" s="18"/>
      <c r="I527" s="67"/>
      <c r="J527" s="607"/>
      <c r="L527" s="715"/>
      <c r="M527" s="67">
        <v>15000</v>
      </c>
      <c r="N527" s="264">
        <f t="shared" si="217"/>
        <v>15000</v>
      </c>
      <c r="O527" s="715"/>
      <c r="P527" s="647" t="s">
        <v>110</v>
      </c>
      <c r="Q527" s="1136" t="s">
        <v>105</v>
      </c>
      <c r="V527" s="81" t="s">
        <v>237</v>
      </c>
    </row>
    <row r="528" spans="2:22" ht="30">
      <c r="B528" s="91" t="s">
        <v>3333</v>
      </c>
      <c r="C528" s="91"/>
      <c r="D528" s="69" t="s">
        <v>3340</v>
      </c>
      <c r="E528" s="13">
        <v>41191</v>
      </c>
      <c r="F528" s="1138" t="s">
        <v>5002</v>
      </c>
      <c r="G528" s="18" t="s">
        <v>486</v>
      </c>
      <c r="H528" s="18"/>
      <c r="I528" s="67"/>
      <c r="J528" s="607"/>
      <c r="L528" s="715"/>
      <c r="M528" s="67">
        <v>14500</v>
      </c>
      <c r="N528" s="264">
        <f t="shared" si="217"/>
        <v>14500</v>
      </c>
      <c r="O528" s="715"/>
      <c r="P528" s="647" t="s">
        <v>110</v>
      </c>
      <c r="Q528" s="1136" t="s">
        <v>105</v>
      </c>
      <c r="V528" s="81" t="s">
        <v>237</v>
      </c>
    </row>
    <row r="529" spans="2:22" ht="45">
      <c r="B529" s="91" t="s">
        <v>235</v>
      </c>
      <c r="C529" s="91"/>
      <c r="D529" s="214" t="s">
        <v>3341</v>
      </c>
      <c r="E529" s="13">
        <v>41180</v>
      </c>
      <c r="F529" s="26" t="s">
        <v>5002</v>
      </c>
      <c r="G529" s="18" t="s">
        <v>486</v>
      </c>
      <c r="H529" s="18"/>
      <c r="I529" s="67"/>
      <c r="J529" s="607"/>
      <c r="L529" s="715"/>
      <c r="M529" s="67">
        <v>65000</v>
      </c>
      <c r="N529" s="264">
        <f t="shared" si="217"/>
        <v>65000</v>
      </c>
      <c r="O529" s="715"/>
      <c r="P529" s="647" t="s">
        <v>110</v>
      </c>
      <c r="Q529" s="1136" t="s">
        <v>105</v>
      </c>
      <c r="V529" s="15" t="s">
        <v>237</v>
      </c>
    </row>
    <row r="530" spans="2:22" ht="45">
      <c r="B530" s="91" t="s">
        <v>235</v>
      </c>
      <c r="C530" s="91"/>
      <c r="D530" s="214" t="s">
        <v>3342</v>
      </c>
      <c r="E530" s="13">
        <v>41183</v>
      </c>
      <c r="F530" s="26" t="s">
        <v>5002</v>
      </c>
      <c r="G530" s="18" t="s">
        <v>486</v>
      </c>
      <c r="H530" s="18"/>
      <c r="I530" s="67"/>
      <c r="J530" s="607"/>
      <c r="L530" s="715"/>
      <c r="M530" s="67">
        <v>10800</v>
      </c>
      <c r="N530" s="264">
        <f t="shared" si="217"/>
        <v>10800</v>
      </c>
      <c r="O530" s="715"/>
      <c r="P530" s="647" t="s">
        <v>110</v>
      </c>
      <c r="Q530" s="1136" t="s">
        <v>105</v>
      </c>
      <c r="V530" s="15" t="s">
        <v>237</v>
      </c>
    </row>
    <row r="531" spans="2:22" ht="45">
      <c r="B531" s="91" t="s">
        <v>235</v>
      </c>
      <c r="C531" s="91"/>
      <c r="D531" s="214" t="s">
        <v>3343</v>
      </c>
      <c r="E531" s="13">
        <v>41184</v>
      </c>
      <c r="F531" s="26" t="s">
        <v>5002</v>
      </c>
      <c r="G531" s="18" t="s">
        <v>486</v>
      </c>
      <c r="H531" s="18"/>
      <c r="I531" s="67"/>
      <c r="J531" s="607"/>
      <c r="L531" s="715"/>
      <c r="M531" s="67">
        <v>408000</v>
      </c>
      <c r="N531" s="264">
        <f t="shared" si="217"/>
        <v>408000</v>
      </c>
      <c r="O531" s="715"/>
      <c r="P531" s="647" t="s">
        <v>110</v>
      </c>
      <c r="Q531" s="1136" t="s">
        <v>105</v>
      </c>
      <c r="V531" s="15" t="s">
        <v>237</v>
      </c>
    </row>
    <row r="532" spans="2:22" ht="30">
      <c r="B532" s="91" t="s">
        <v>235</v>
      </c>
      <c r="C532" s="91"/>
      <c r="D532" s="69" t="s">
        <v>3344</v>
      </c>
      <c r="E532" s="13">
        <v>41185</v>
      </c>
      <c r="F532" s="26" t="s">
        <v>5002</v>
      </c>
      <c r="G532" s="18" t="s">
        <v>486</v>
      </c>
      <c r="H532" s="18"/>
      <c r="I532" s="67"/>
      <c r="J532" s="607"/>
      <c r="L532" s="715"/>
      <c r="M532" s="67">
        <v>8000</v>
      </c>
      <c r="N532" s="264">
        <f t="shared" si="217"/>
        <v>8000</v>
      </c>
      <c r="O532" s="715"/>
      <c r="P532" s="647" t="s">
        <v>110</v>
      </c>
      <c r="Q532" s="1136" t="s">
        <v>105</v>
      </c>
      <c r="V532" s="81" t="s">
        <v>237</v>
      </c>
    </row>
    <row r="533" spans="2:22" ht="30">
      <c r="B533" s="91" t="s">
        <v>235</v>
      </c>
      <c r="C533" s="91"/>
      <c r="D533" s="69" t="s">
        <v>3345</v>
      </c>
      <c r="E533" s="13">
        <v>41198</v>
      </c>
      <c r="F533" s="26" t="s">
        <v>5002</v>
      </c>
      <c r="G533" s="18" t="s">
        <v>486</v>
      </c>
      <c r="H533" s="18"/>
      <c r="I533" s="67"/>
      <c r="J533" s="607"/>
      <c r="L533" s="715"/>
      <c r="M533" s="67">
        <v>15000</v>
      </c>
      <c r="N533" s="264">
        <f t="shared" si="217"/>
        <v>15000</v>
      </c>
      <c r="O533" s="715"/>
      <c r="P533" s="647" t="s">
        <v>110</v>
      </c>
      <c r="Q533" s="1136" t="s">
        <v>105</v>
      </c>
      <c r="V533" s="81" t="s">
        <v>237</v>
      </c>
    </row>
    <row r="534" spans="2:22" ht="30">
      <c r="B534" s="91" t="s">
        <v>235</v>
      </c>
      <c r="C534" s="91"/>
      <c r="D534" s="69" t="s">
        <v>3346</v>
      </c>
      <c r="E534" s="13">
        <v>41193</v>
      </c>
      <c r="F534" s="26" t="s">
        <v>5002</v>
      </c>
      <c r="G534" s="18" t="s">
        <v>486</v>
      </c>
      <c r="H534" s="18"/>
      <c r="I534" s="67"/>
      <c r="J534" s="607"/>
      <c r="M534" s="67">
        <v>7500</v>
      </c>
      <c r="N534" s="264">
        <f t="shared" si="217"/>
        <v>7500</v>
      </c>
      <c r="P534" s="647" t="s">
        <v>110</v>
      </c>
      <c r="Q534" s="1136" t="s">
        <v>105</v>
      </c>
      <c r="V534" s="81" t="s">
        <v>237</v>
      </c>
    </row>
    <row r="535" spans="2:22" ht="30">
      <c r="B535" s="91" t="s">
        <v>235</v>
      </c>
      <c r="C535" s="91"/>
      <c r="D535" s="69" t="s">
        <v>3347</v>
      </c>
      <c r="E535" s="13">
        <v>41212</v>
      </c>
      <c r="F535" s="26" t="s">
        <v>5002</v>
      </c>
      <c r="G535" s="18" t="s">
        <v>486</v>
      </c>
      <c r="H535" s="18"/>
      <c r="I535" s="67"/>
      <c r="J535" s="607"/>
      <c r="M535" s="67">
        <v>5900</v>
      </c>
      <c r="N535" s="264">
        <f t="shared" si="217"/>
        <v>5900</v>
      </c>
      <c r="P535" s="647" t="s">
        <v>110</v>
      </c>
      <c r="Q535" s="1136" t="s">
        <v>105</v>
      </c>
      <c r="V535" s="81" t="s">
        <v>237</v>
      </c>
    </row>
    <row r="536" spans="2:22" ht="45">
      <c r="B536" s="91" t="s">
        <v>235</v>
      </c>
      <c r="C536" s="91"/>
      <c r="D536" s="214" t="s">
        <v>3348</v>
      </c>
      <c r="E536" s="13">
        <v>41200</v>
      </c>
      <c r="F536" s="26" t="s">
        <v>5002</v>
      </c>
      <c r="G536" s="18" t="s">
        <v>486</v>
      </c>
      <c r="H536" s="18"/>
      <c r="I536" s="67"/>
      <c r="J536" s="607"/>
      <c r="M536" s="67">
        <v>41500</v>
      </c>
      <c r="N536" s="264">
        <f t="shared" si="217"/>
        <v>41500</v>
      </c>
      <c r="P536" s="647" t="s">
        <v>110</v>
      </c>
      <c r="Q536" s="1136" t="s">
        <v>105</v>
      </c>
      <c r="V536" s="15" t="s">
        <v>237</v>
      </c>
    </row>
    <row r="537" spans="2:22" ht="45">
      <c r="B537" s="91" t="s">
        <v>235</v>
      </c>
      <c r="C537" s="91"/>
      <c r="D537" s="214" t="s">
        <v>3349</v>
      </c>
      <c r="E537" s="13">
        <v>41204</v>
      </c>
      <c r="F537" s="26" t="s">
        <v>5002</v>
      </c>
      <c r="G537" s="18" t="s">
        <v>486</v>
      </c>
      <c r="H537" s="18"/>
      <c r="I537" s="67"/>
      <c r="J537" s="607"/>
      <c r="M537" s="67">
        <v>30000</v>
      </c>
      <c r="N537" s="264">
        <f t="shared" si="217"/>
        <v>30000</v>
      </c>
      <c r="P537" s="647" t="s">
        <v>110</v>
      </c>
      <c r="Q537" s="1136" t="s">
        <v>105</v>
      </c>
      <c r="V537" s="15" t="s">
        <v>237</v>
      </c>
    </row>
    <row r="538" spans="2:22" ht="45">
      <c r="B538" s="91" t="s">
        <v>235</v>
      </c>
      <c r="C538" s="91"/>
      <c r="D538" s="214" t="s">
        <v>3350</v>
      </c>
      <c r="E538" s="13">
        <v>41205</v>
      </c>
      <c r="F538" s="26" t="s">
        <v>5002</v>
      </c>
      <c r="G538" s="18" t="s">
        <v>486</v>
      </c>
      <c r="H538" s="18"/>
      <c r="I538" s="67"/>
      <c r="J538" s="607"/>
      <c r="M538" s="67">
        <v>45000</v>
      </c>
      <c r="N538" s="264">
        <f t="shared" si="217"/>
        <v>45000</v>
      </c>
      <c r="P538" s="647" t="s">
        <v>110</v>
      </c>
      <c r="Q538" s="1136" t="s">
        <v>105</v>
      </c>
      <c r="V538" s="15" t="s">
        <v>237</v>
      </c>
    </row>
    <row r="539" spans="2:22" ht="30">
      <c r="B539" s="91" t="s">
        <v>235</v>
      </c>
      <c r="C539" s="91"/>
      <c r="D539" s="69" t="s">
        <v>3351</v>
      </c>
      <c r="E539" s="13">
        <v>41206</v>
      </c>
      <c r="F539" s="26" t="s">
        <v>5002</v>
      </c>
      <c r="G539" s="18" t="s">
        <v>486</v>
      </c>
      <c r="H539" s="18"/>
      <c r="I539" s="67"/>
      <c r="J539" s="607"/>
      <c r="M539" s="67">
        <v>15000</v>
      </c>
      <c r="N539" s="264">
        <f t="shared" si="217"/>
        <v>15000</v>
      </c>
      <c r="P539" s="647" t="s">
        <v>110</v>
      </c>
      <c r="Q539" s="1136" t="s">
        <v>105</v>
      </c>
      <c r="V539" s="15" t="s">
        <v>237</v>
      </c>
    </row>
    <row r="540" spans="2:22" ht="30">
      <c r="B540" s="91" t="s">
        <v>235</v>
      </c>
      <c r="C540" s="91"/>
      <c r="D540" s="69" t="s">
        <v>3352</v>
      </c>
      <c r="E540" s="13">
        <v>41228</v>
      </c>
      <c r="F540" s="26" t="s">
        <v>5002</v>
      </c>
      <c r="G540" s="18" t="s">
        <v>486</v>
      </c>
      <c r="H540" s="18"/>
      <c r="I540" s="67"/>
      <c r="J540" s="607"/>
      <c r="M540" s="67">
        <v>3503</v>
      </c>
      <c r="N540" s="264">
        <f t="shared" si="217"/>
        <v>3503</v>
      </c>
      <c r="P540" s="647" t="s">
        <v>110</v>
      </c>
      <c r="Q540" s="1136" t="s">
        <v>105</v>
      </c>
      <c r="V540" s="15" t="s">
        <v>237</v>
      </c>
    </row>
    <row r="541" spans="2:22" ht="45">
      <c r="B541" s="91" t="s">
        <v>235</v>
      </c>
      <c r="C541" s="91"/>
      <c r="D541" s="214" t="s">
        <v>3353</v>
      </c>
      <c r="E541" s="13">
        <v>41204</v>
      </c>
      <c r="F541" s="26" t="s">
        <v>5002</v>
      </c>
      <c r="G541" s="18" t="s">
        <v>486</v>
      </c>
      <c r="H541" s="18"/>
      <c r="I541" s="67"/>
      <c r="J541" s="607"/>
      <c r="M541" s="67">
        <v>33000</v>
      </c>
      <c r="N541" s="264">
        <f t="shared" si="217"/>
        <v>33000</v>
      </c>
      <c r="P541" s="647" t="s">
        <v>110</v>
      </c>
      <c r="Q541" s="1136" t="s">
        <v>105</v>
      </c>
      <c r="V541" s="15" t="s">
        <v>237</v>
      </c>
    </row>
    <row r="542" spans="2:22" ht="45">
      <c r="B542" s="91" t="s">
        <v>235</v>
      </c>
      <c r="C542" s="91"/>
      <c r="D542" s="214" t="s">
        <v>3354</v>
      </c>
      <c r="E542" s="13">
        <v>41205</v>
      </c>
      <c r="F542" s="26" t="s">
        <v>5002</v>
      </c>
      <c r="G542" s="18" t="s">
        <v>486</v>
      </c>
      <c r="H542" s="18"/>
      <c r="I542" s="67"/>
      <c r="J542" s="607"/>
      <c r="M542" s="67">
        <v>82500</v>
      </c>
      <c r="N542" s="264">
        <f t="shared" si="217"/>
        <v>82500</v>
      </c>
      <c r="P542" s="647" t="s">
        <v>110</v>
      </c>
      <c r="Q542" s="1136" t="s">
        <v>105</v>
      </c>
      <c r="V542" s="15" t="s">
        <v>237</v>
      </c>
    </row>
    <row r="543" spans="2:22" ht="30">
      <c r="B543" s="89" t="s">
        <v>3355</v>
      </c>
      <c r="C543" s="89"/>
      <c r="D543" s="69" t="s">
        <v>3356</v>
      </c>
      <c r="E543" s="13">
        <v>41235</v>
      </c>
      <c r="F543" s="26" t="s">
        <v>5002</v>
      </c>
      <c r="G543" s="18" t="s">
        <v>486</v>
      </c>
      <c r="H543" s="18"/>
      <c r="I543" s="67"/>
      <c r="J543" s="607"/>
      <c r="M543" s="67">
        <v>-2000</v>
      </c>
      <c r="N543" s="264">
        <f t="shared" si="217"/>
        <v>-2000</v>
      </c>
      <c r="P543" s="647" t="s">
        <v>110</v>
      </c>
      <c r="Q543" s="1136" t="s">
        <v>105</v>
      </c>
      <c r="V543" s="15" t="s">
        <v>237</v>
      </c>
    </row>
    <row r="544" spans="2:22" ht="30">
      <c r="B544" s="91" t="s">
        <v>235</v>
      </c>
      <c r="C544" s="91"/>
      <c r="D544" s="69" t="s">
        <v>3357</v>
      </c>
      <c r="E544" s="13">
        <v>41235</v>
      </c>
      <c r="F544" s="26" t="s">
        <v>5002</v>
      </c>
      <c r="G544" s="18" t="s">
        <v>486</v>
      </c>
      <c r="H544" s="18"/>
      <c r="I544" s="67"/>
      <c r="J544" s="607"/>
      <c r="M544" s="67">
        <v>2000</v>
      </c>
      <c r="N544" s="264">
        <f t="shared" si="217"/>
        <v>2000</v>
      </c>
      <c r="P544" s="647" t="s">
        <v>110</v>
      </c>
      <c r="Q544" s="1136" t="s">
        <v>105</v>
      </c>
      <c r="V544" s="15" t="s">
        <v>237</v>
      </c>
    </row>
    <row r="545" spans="2:22" ht="45">
      <c r="B545" s="91" t="s">
        <v>235</v>
      </c>
      <c r="C545" s="91"/>
      <c r="D545" s="214" t="s">
        <v>3358</v>
      </c>
      <c r="E545" s="13">
        <v>41206</v>
      </c>
      <c r="F545" s="26" t="s">
        <v>5002</v>
      </c>
      <c r="G545" s="18" t="s">
        <v>486</v>
      </c>
      <c r="H545" s="18"/>
      <c r="I545" s="67"/>
      <c r="J545" s="607"/>
      <c r="M545" s="67">
        <v>11000</v>
      </c>
      <c r="N545" s="264">
        <f t="shared" si="217"/>
        <v>11000</v>
      </c>
      <c r="P545" s="647" t="s">
        <v>110</v>
      </c>
      <c r="Q545" s="1136" t="s">
        <v>105</v>
      </c>
      <c r="V545" s="15" t="s">
        <v>237</v>
      </c>
    </row>
    <row r="546" spans="2:22" ht="30">
      <c r="B546" s="91" t="s">
        <v>235</v>
      </c>
      <c r="C546" s="91"/>
      <c r="D546" s="69" t="s">
        <v>3359</v>
      </c>
      <c r="E546" s="13">
        <v>41232</v>
      </c>
      <c r="F546" s="26" t="s">
        <v>5002</v>
      </c>
      <c r="G546" s="18" t="s">
        <v>486</v>
      </c>
      <c r="H546" s="18"/>
      <c r="I546" s="67"/>
      <c r="J546" s="607"/>
      <c r="M546" s="67">
        <v>3000</v>
      </c>
      <c r="N546" s="264">
        <f t="shared" si="217"/>
        <v>3000</v>
      </c>
      <c r="P546" s="647" t="s">
        <v>110</v>
      </c>
      <c r="Q546" s="1136" t="s">
        <v>105</v>
      </c>
      <c r="V546" s="15" t="s">
        <v>237</v>
      </c>
    </row>
    <row r="547" spans="2:22" ht="30">
      <c r="B547" s="91" t="s">
        <v>235</v>
      </c>
      <c r="C547" s="91"/>
      <c r="D547" s="69" t="s">
        <v>3360</v>
      </c>
      <c r="E547" s="13">
        <v>41233</v>
      </c>
      <c r="F547" s="26" t="s">
        <v>5002</v>
      </c>
      <c r="G547" s="18" t="s">
        <v>486</v>
      </c>
      <c r="H547" s="18"/>
      <c r="I547" s="67"/>
      <c r="J547" s="607"/>
      <c r="M547" s="67">
        <v>17500</v>
      </c>
      <c r="N547" s="264">
        <f t="shared" si="217"/>
        <v>17500</v>
      </c>
      <c r="P547" s="647" t="s">
        <v>110</v>
      </c>
      <c r="Q547" s="1136" t="s">
        <v>105</v>
      </c>
      <c r="V547" s="15" t="s">
        <v>237</v>
      </c>
    </row>
    <row r="548" spans="2:22" ht="30">
      <c r="B548" s="91" t="s">
        <v>235</v>
      </c>
      <c r="C548" s="91"/>
      <c r="D548" s="69" t="s">
        <v>3361</v>
      </c>
      <c r="E548" s="13">
        <v>41235</v>
      </c>
      <c r="F548" s="26" t="s">
        <v>5002</v>
      </c>
      <c r="G548" s="18" t="s">
        <v>486</v>
      </c>
      <c r="H548" s="18"/>
      <c r="I548" s="67"/>
      <c r="J548" s="607"/>
      <c r="M548" s="67">
        <v>39000</v>
      </c>
      <c r="N548" s="264">
        <f t="shared" si="217"/>
        <v>39000</v>
      </c>
      <c r="P548" s="647" t="s">
        <v>110</v>
      </c>
      <c r="Q548" s="1136" t="s">
        <v>105</v>
      </c>
      <c r="V548" s="15" t="s">
        <v>237</v>
      </c>
    </row>
    <row r="549" spans="2:22" ht="30">
      <c r="B549" s="91" t="s">
        <v>3362</v>
      </c>
      <c r="C549" s="91"/>
      <c r="D549" s="69" t="s">
        <v>3363</v>
      </c>
      <c r="E549" s="13">
        <v>41250</v>
      </c>
      <c r="F549" s="1138" t="s">
        <v>5002</v>
      </c>
      <c r="G549" s="18" t="s">
        <v>486</v>
      </c>
      <c r="H549" s="18"/>
      <c r="I549" s="67"/>
      <c r="J549" s="607"/>
      <c r="M549" s="67">
        <v>1500</v>
      </c>
      <c r="N549" s="264">
        <f t="shared" si="217"/>
        <v>1500</v>
      </c>
      <c r="P549" s="647" t="s">
        <v>110</v>
      </c>
      <c r="Q549" s="1136" t="s">
        <v>105</v>
      </c>
      <c r="V549" s="15" t="s">
        <v>237</v>
      </c>
    </row>
    <row r="550" spans="2:22" ht="30">
      <c r="B550" s="91" t="s">
        <v>3362</v>
      </c>
      <c r="C550" s="91"/>
      <c r="D550" s="69" t="s">
        <v>3364</v>
      </c>
      <c r="E550" s="13">
        <v>41250</v>
      </c>
      <c r="F550" s="1138" t="s">
        <v>5002</v>
      </c>
      <c r="G550" s="18" t="s">
        <v>486</v>
      </c>
      <c r="H550" s="18"/>
      <c r="I550" s="67"/>
      <c r="J550" s="607"/>
      <c r="M550" s="67">
        <v>1000</v>
      </c>
      <c r="N550" s="264">
        <f t="shared" si="217"/>
        <v>1000</v>
      </c>
      <c r="P550" s="647" t="s">
        <v>110</v>
      </c>
      <c r="Q550" s="1136" t="s">
        <v>105</v>
      </c>
      <c r="V550" s="15" t="s">
        <v>237</v>
      </c>
    </row>
    <row r="551" spans="2:22" ht="30">
      <c r="B551" s="91" t="s">
        <v>3365</v>
      </c>
      <c r="C551" s="91"/>
      <c r="D551" s="69" t="s">
        <v>3366</v>
      </c>
      <c r="E551" s="13">
        <v>41255</v>
      </c>
      <c r="F551" s="1138" t="s">
        <v>5002</v>
      </c>
      <c r="G551" s="18" t="s">
        <v>486</v>
      </c>
      <c r="H551" s="18"/>
      <c r="I551" s="67"/>
      <c r="J551" s="607"/>
      <c r="M551" s="67">
        <v>-15000</v>
      </c>
      <c r="N551" s="264">
        <f t="shared" si="217"/>
        <v>-15000</v>
      </c>
      <c r="P551" s="647" t="s">
        <v>110</v>
      </c>
      <c r="Q551" s="1136" t="s">
        <v>105</v>
      </c>
      <c r="V551" s="15" t="s">
        <v>237</v>
      </c>
    </row>
    <row r="552" spans="2:22" ht="30">
      <c r="B552" s="91" t="s">
        <v>3362</v>
      </c>
      <c r="C552" s="91"/>
      <c r="D552" s="69" t="s">
        <v>3367</v>
      </c>
      <c r="E552" s="13">
        <v>41255</v>
      </c>
      <c r="F552" s="1138" t="s">
        <v>5002</v>
      </c>
      <c r="G552" s="18" t="s">
        <v>486</v>
      </c>
      <c r="H552" s="18"/>
      <c r="I552" s="67"/>
      <c r="J552" s="607"/>
      <c r="M552" s="67">
        <v>15000</v>
      </c>
      <c r="N552" s="264">
        <f t="shared" si="217"/>
        <v>15000</v>
      </c>
      <c r="P552" s="647" t="s">
        <v>110</v>
      </c>
      <c r="Q552" s="1136" t="s">
        <v>105</v>
      </c>
      <c r="V552" s="15" t="s">
        <v>237</v>
      </c>
    </row>
    <row r="553" spans="2:22" ht="30">
      <c r="B553" s="91" t="s">
        <v>3362</v>
      </c>
      <c r="C553" s="91"/>
      <c r="D553" s="69" t="s">
        <v>3368</v>
      </c>
      <c r="E553" s="13">
        <v>41257</v>
      </c>
      <c r="F553" s="1138" t="s">
        <v>5002</v>
      </c>
      <c r="G553" s="18" t="s">
        <v>486</v>
      </c>
      <c r="H553" s="18"/>
      <c r="I553" s="67"/>
      <c r="J553" s="607"/>
      <c r="M553" s="67">
        <v>250</v>
      </c>
      <c r="N553" s="264">
        <f t="shared" si="217"/>
        <v>250</v>
      </c>
      <c r="P553" s="647" t="s">
        <v>110</v>
      </c>
      <c r="Q553" s="1136" t="s">
        <v>105</v>
      </c>
      <c r="V553" s="15" t="s">
        <v>237</v>
      </c>
    </row>
    <row r="554" spans="2:22" ht="30">
      <c r="B554" s="91" t="s">
        <v>235</v>
      </c>
      <c r="C554" s="91"/>
      <c r="D554" s="69" t="s">
        <v>3369</v>
      </c>
      <c r="E554" s="13">
        <v>41205</v>
      </c>
      <c r="F554" s="26" t="s">
        <v>5002</v>
      </c>
      <c r="G554" s="18" t="s">
        <v>486</v>
      </c>
      <c r="H554" s="18"/>
      <c r="I554" s="67"/>
      <c r="J554" s="607"/>
      <c r="M554" s="67">
        <v>16154.79</v>
      </c>
      <c r="N554" s="264">
        <f t="shared" si="217"/>
        <v>16154.79</v>
      </c>
      <c r="P554" s="647" t="s">
        <v>110</v>
      </c>
      <c r="Q554" s="1136" t="s">
        <v>105</v>
      </c>
      <c r="V554" s="15" t="s">
        <v>237</v>
      </c>
    </row>
    <row r="555" spans="2:22" ht="45">
      <c r="B555" s="91" t="s">
        <v>235</v>
      </c>
      <c r="C555" s="91"/>
      <c r="D555" s="214" t="s">
        <v>3370</v>
      </c>
      <c r="E555" s="13">
        <v>41250</v>
      </c>
      <c r="F555" s="26" t="s">
        <v>5002</v>
      </c>
      <c r="G555" s="18" t="s">
        <v>486</v>
      </c>
      <c r="H555" s="18"/>
      <c r="I555" s="67"/>
      <c r="J555" s="607"/>
      <c r="M555" s="67">
        <v>184634.21100000001</v>
      </c>
      <c r="N555" s="264">
        <f t="shared" si="217"/>
        <v>184634.21100000001</v>
      </c>
      <c r="P555" s="647" t="s">
        <v>110</v>
      </c>
      <c r="Q555" s="1136" t="s">
        <v>105</v>
      </c>
      <c r="V555" s="15" t="s">
        <v>237</v>
      </c>
    </row>
    <row r="556" spans="2:22" ht="90">
      <c r="B556" s="91" t="s">
        <v>235</v>
      </c>
      <c r="C556" s="91"/>
      <c r="D556" s="214" t="s">
        <v>3371</v>
      </c>
      <c r="E556" s="13">
        <v>41253</v>
      </c>
      <c r="F556" s="26" t="s">
        <v>5002</v>
      </c>
      <c r="G556" s="18" t="s">
        <v>486</v>
      </c>
      <c r="H556" s="18"/>
      <c r="I556" s="67"/>
      <c r="J556" s="607"/>
      <c r="M556" s="67">
        <v>183000</v>
      </c>
      <c r="N556" s="264">
        <f t="shared" si="217"/>
        <v>183000</v>
      </c>
      <c r="P556" s="647" t="s">
        <v>110</v>
      </c>
      <c r="Q556" s="1136" t="s">
        <v>105</v>
      </c>
      <c r="V556" s="15" t="s">
        <v>237</v>
      </c>
    </row>
    <row r="557" spans="2:22" ht="30">
      <c r="B557" s="91" t="s">
        <v>235</v>
      </c>
      <c r="C557" s="91"/>
      <c r="D557" s="69" t="s">
        <v>3372</v>
      </c>
      <c r="E557" s="13">
        <v>41254</v>
      </c>
      <c r="F557" s="26" t="s">
        <v>5002</v>
      </c>
      <c r="G557" s="18" t="s">
        <v>486</v>
      </c>
      <c r="H557" s="18"/>
      <c r="I557" s="67"/>
      <c r="J557" s="607"/>
      <c r="M557" s="67">
        <v>4938</v>
      </c>
      <c r="N557" s="264">
        <f t="shared" si="217"/>
        <v>4938</v>
      </c>
      <c r="P557" s="647" t="s">
        <v>110</v>
      </c>
      <c r="Q557" s="1136" t="s">
        <v>105</v>
      </c>
      <c r="V557" s="15" t="s">
        <v>237</v>
      </c>
    </row>
    <row r="558" spans="2:22" ht="30">
      <c r="B558" s="91" t="s">
        <v>235</v>
      </c>
      <c r="C558" s="91"/>
      <c r="D558" s="69" t="s">
        <v>3373</v>
      </c>
      <c r="E558" s="13">
        <v>41255</v>
      </c>
      <c r="F558" s="26" t="s">
        <v>5002</v>
      </c>
      <c r="G558" s="18" t="s">
        <v>486</v>
      </c>
      <c r="H558" s="18"/>
      <c r="I558" s="67"/>
      <c r="J558" s="607"/>
      <c r="M558" s="67">
        <v>100000</v>
      </c>
      <c r="N558" s="264">
        <f t="shared" si="217"/>
        <v>100000</v>
      </c>
      <c r="P558" s="647" t="s">
        <v>110</v>
      </c>
      <c r="Q558" s="1136" t="s">
        <v>105</v>
      </c>
      <c r="V558" s="15" t="s">
        <v>237</v>
      </c>
    </row>
    <row r="559" spans="2:22" ht="30">
      <c r="B559" s="91" t="s">
        <v>235</v>
      </c>
      <c r="C559" s="91"/>
      <c r="D559" s="69" t="s">
        <v>3374</v>
      </c>
      <c r="E559" s="13">
        <v>41260</v>
      </c>
      <c r="F559" s="26" t="s">
        <v>5002</v>
      </c>
      <c r="G559" s="18" t="s">
        <v>486</v>
      </c>
      <c r="H559" s="18"/>
      <c r="I559" s="67"/>
      <c r="J559" s="607"/>
      <c r="M559" s="67">
        <v>10000</v>
      </c>
      <c r="N559" s="264">
        <f t="shared" si="217"/>
        <v>10000</v>
      </c>
      <c r="P559" s="647" t="s">
        <v>110</v>
      </c>
      <c r="Q559" s="1136" t="s">
        <v>105</v>
      </c>
      <c r="V559" s="15" t="s">
        <v>237</v>
      </c>
    </row>
    <row r="560" spans="2:22" ht="75">
      <c r="B560" s="91" t="s">
        <v>235</v>
      </c>
      <c r="C560" s="91"/>
      <c r="D560" s="214" t="s">
        <v>3375</v>
      </c>
      <c r="E560" s="13">
        <v>41262</v>
      </c>
      <c r="F560" s="26" t="s">
        <v>5002</v>
      </c>
      <c r="G560" s="18" t="s">
        <v>486</v>
      </c>
      <c r="H560" s="18"/>
      <c r="I560" s="67"/>
      <c r="J560" s="607"/>
      <c r="M560" s="67">
        <v>76150</v>
      </c>
      <c r="N560" s="264">
        <f t="shared" si="217"/>
        <v>76150</v>
      </c>
      <c r="P560" s="647" t="s">
        <v>110</v>
      </c>
      <c r="Q560" s="1136" t="s">
        <v>105</v>
      </c>
      <c r="V560" s="15" t="s">
        <v>237</v>
      </c>
    </row>
    <row r="561" spans="2:24" ht="45">
      <c r="B561" s="91" t="s">
        <v>235</v>
      </c>
      <c r="C561" s="91"/>
      <c r="D561" s="214" t="s">
        <v>3376</v>
      </c>
      <c r="E561" s="13">
        <v>41269</v>
      </c>
      <c r="F561" s="26" t="s">
        <v>5002</v>
      </c>
      <c r="G561" s="18" t="s">
        <v>486</v>
      </c>
      <c r="H561" s="18"/>
      <c r="I561" s="67"/>
      <c r="J561" s="607"/>
      <c r="M561" s="67">
        <v>50000</v>
      </c>
      <c r="N561" s="264">
        <f t="shared" si="217"/>
        <v>50000</v>
      </c>
      <c r="P561" s="647" t="s">
        <v>110</v>
      </c>
      <c r="Q561" s="1136" t="s">
        <v>105</v>
      </c>
      <c r="V561" s="15" t="s">
        <v>237</v>
      </c>
    </row>
    <row r="562" spans="2:24" ht="45">
      <c r="B562" s="91" t="s">
        <v>235</v>
      </c>
      <c r="C562" s="91"/>
      <c r="D562" s="214" t="s">
        <v>3377</v>
      </c>
      <c r="E562" s="13">
        <v>41271</v>
      </c>
      <c r="F562" s="26" t="s">
        <v>5002</v>
      </c>
      <c r="G562" s="18" t="s">
        <v>486</v>
      </c>
      <c r="H562" s="18"/>
      <c r="I562" s="67"/>
      <c r="J562" s="607"/>
      <c r="M562" s="67">
        <v>188750</v>
      </c>
      <c r="N562" s="264">
        <f t="shared" si="217"/>
        <v>188750</v>
      </c>
      <c r="P562" s="647" t="s">
        <v>110</v>
      </c>
      <c r="Q562" s="1136" t="s">
        <v>105</v>
      </c>
      <c r="V562" s="15" t="s">
        <v>237</v>
      </c>
    </row>
    <row r="563" spans="2:24">
      <c r="B563" s="91"/>
      <c r="C563" s="91"/>
      <c r="D563" s="214"/>
      <c r="E563" s="13"/>
      <c r="F563" s="13"/>
      <c r="G563" s="18"/>
      <c r="H563" s="18"/>
      <c r="I563" s="67"/>
      <c r="J563" s="607"/>
      <c r="M563" s="67"/>
    </row>
    <row r="564" spans="2:24">
      <c r="B564" s="86"/>
      <c r="C564" s="86"/>
      <c r="D564" s="62"/>
      <c r="E564" s="84"/>
      <c r="F564" s="84"/>
      <c r="G564" s="83"/>
      <c r="H564" s="83"/>
      <c r="I564" s="85"/>
      <c r="J564" s="635"/>
      <c r="K564" s="1204"/>
      <c r="L564" s="1204"/>
      <c r="M564" s="200">
        <f>SUM(M565:M594)</f>
        <v>1287487.2879999999</v>
      </c>
      <c r="N564" s="200">
        <f>SUM(N565:N594)</f>
        <v>1287487.2879999999</v>
      </c>
      <c r="R564" s="7">
        <f t="shared" ref="R564:S564" si="218">SUM(R565:R594)</f>
        <v>0</v>
      </c>
      <c r="S564" s="7">
        <f t="shared" si="218"/>
        <v>0</v>
      </c>
    </row>
    <row r="565" spans="2:24" ht="30">
      <c r="B565" s="89" t="s">
        <v>3378</v>
      </c>
      <c r="C565" s="89"/>
      <c r="D565" s="69" t="s">
        <v>3379</v>
      </c>
      <c r="E565" s="13">
        <v>41283</v>
      </c>
      <c r="F565" s="1231" t="s">
        <v>5002</v>
      </c>
      <c r="G565" s="18" t="s">
        <v>486</v>
      </c>
      <c r="H565" s="18"/>
      <c r="I565" s="67"/>
      <c r="J565" s="607"/>
      <c r="M565" s="67">
        <v>3000</v>
      </c>
      <c r="N565" s="264">
        <f t="shared" ref="N565:N594" si="219">SUM(K565:M565)</f>
        <v>3000</v>
      </c>
      <c r="P565" s="647" t="s">
        <v>110</v>
      </c>
      <c r="Q565" s="1136" t="s">
        <v>105</v>
      </c>
      <c r="V565" s="15" t="s">
        <v>237</v>
      </c>
    </row>
    <row r="566" spans="2:24" ht="45">
      <c r="B566" s="91" t="s">
        <v>235</v>
      </c>
      <c r="C566" s="91"/>
      <c r="D566" s="214" t="s">
        <v>3380</v>
      </c>
      <c r="E566" s="13">
        <v>41284</v>
      </c>
      <c r="F566" s="26" t="s">
        <v>5002</v>
      </c>
      <c r="G566" s="18" t="s">
        <v>486</v>
      </c>
      <c r="H566" s="18"/>
      <c r="I566" s="67"/>
      <c r="J566" s="607"/>
      <c r="M566" s="67">
        <v>20000</v>
      </c>
      <c r="N566" s="264">
        <f t="shared" si="219"/>
        <v>20000</v>
      </c>
      <c r="P566" s="647" t="s">
        <v>110</v>
      </c>
      <c r="Q566" s="1136" t="s">
        <v>105</v>
      </c>
      <c r="V566" s="15" t="s">
        <v>237</v>
      </c>
    </row>
    <row r="567" spans="2:24" ht="45">
      <c r="B567" s="91" t="s">
        <v>235</v>
      </c>
      <c r="C567" s="91"/>
      <c r="D567" s="214" t="s">
        <v>3381</v>
      </c>
      <c r="E567" s="13">
        <v>41288</v>
      </c>
      <c r="F567" s="26" t="s">
        <v>5002</v>
      </c>
      <c r="G567" s="18" t="s">
        <v>486</v>
      </c>
      <c r="H567" s="18"/>
      <c r="I567" s="67"/>
      <c r="J567" s="607"/>
      <c r="M567" s="67">
        <f>22782.288+2450+2550+2405</f>
        <v>30187.288</v>
      </c>
      <c r="N567" s="264">
        <f t="shared" si="219"/>
        <v>30187.288</v>
      </c>
      <c r="P567" s="647" t="s">
        <v>110</v>
      </c>
      <c r="Q567" s="1136" t="s">
        <v>105</v>
      </c>
      <c r="V567" s="15" t="s">
        <v>237</v>
      </c>
    </row>
    <row r="568" spans="2:24" ht="30">
      <c r="B568" s="91" t="s">
        <v>235</v>
      </c>
      <c r="C568" s="91"/>
      <c r="D568" s="69" t="s">
        <v>3382</v>
      </c>
      <c r="E568" s="13">
        <v>41291</v>
      </c>
      <c r="F568" s="26" t="s">
        <v>5002</v>
      </c>
      <c r="G568" s="18" t="s">
        <v>486</v>
      </c>
      <c r="H568" s="18"/>
      <c r="I568" s="67"/>
      <c r="J568" s="607"/>
      <c r="M568" s="67">
        <v>11250</v>
      </c>
      <c r="N568" s="264">
        <f t="shared" si="219"/>
        <v>11250</v>
      </c>
      <c r="P568" s="647" t="s">
        <v>110</v>
      </c>
      <c r="Q568" s="1136" t="s">
        <v>105</v>
      </c>
      <c r="V568" s="15" t="s">
        <v>237</v>
      </c>
    </row>
    <row r="569" spans="2:24" ht="30">
      <c r="B569" s="91" t="s">
        <v>235</v>
      </c>
      <c r="C569" s="91"/>
      <c r="D569" s="69" t="s">
        <v>6125</v>
      </c>
      <c r="E569" s="13">
        <v>41295</v>
      </c>
      <c r="F569" s="26" t="s">
        <v>5002</v>
      </c>
      <c r="G569" s="18" t="s">
        <v>486</v>
      </c>
      <c r="H569" s="18"/>
      <c r="I569" s="67"/>
      <c r="J569" s="607"/>
      <c r="M569" s="67">
        <v>2000</v>
      </c>
      <c r="N569" s="264">
        <f t="shared" si="219"/>
        <v>2000</v>
      </c>
      <c r="P569" s="647" t="s">
        <v>110</v>
      </c>
      <c r="Q569" s="1136" t="s">
        <v>105</v>
      </c>
      <c r="V569" s="15" t="s">
        <v>237</v>
      </c>
    </row>
    <row r="570" spans="2:24" ht="45">
      <c r="B570" s="91" t="s">
        <v>235</v>
      </c>
      <c r="C570" s="91"/>
      <c r="D570" s="214" t="s">
        <v>3383</v>
      </c>
      <c r="E570" s="13">
        <v>41289</v>
      </c>
      <c r="F570" s="26" t="s">
        <v>5002</v>
      </c>
      <c r="G570" s="18" t="s">
        <v>486</v>
      </c>
      <c r="H570" s="18"/>
      <c r="I570" s="67"/>
      <c r="J570" s="607"/>
      <c r="M570" s="67">
        <v>47000</v>
      </c>
      <c r="N570" s="264">
        <f t="shared" si="219"/>
        <v>47000</v>
      </c>
      <c r="P570" s="647" t="s">
        <v>110</v>
      </c>
      <c r="Q570" s="1136" t="s">
        <v>105</v>
      </c>
      <c r="V570" s="15" t="s">
        <v>237</v>
      </c>
    </row>
    <row r="571" spans="2:24" ht="45">
      <c r="B571" s="91" t="s">
        <v>235</v>
      </c>
      <c r="C571" s="91"/>
      <c r="D571" s="214" t="s">
        <v>3384</v>
      </c>
      <c r="E571" s="13">
        <v>41292</v>
      </c>
      <c r="F571" s="26" t="s">
        <v>5002</v>
      </c>
      <c r="G571" s="18" t="s">
        <v>486</v>
      </c>
      <c r="H571" s="18"/>
      <c r="I571" s="67"/>
      <c r="J571" s="607"/>
      <c r="M571" s="67">
        <v>40000</v>
      </c>
      <c r="N571" s="264">
        <f t="shared" si="219"/>
        <v>40000</v>
      </c>
      <c r="P571" s="647" t="s">
        <v>110</v>
      </c>
      <c r="Q571" s="1136" t="s">
        <v>105</v>
      </c>
      <c r="V571" s="15" t="s">
        <v>237</v>
      </c>
    </row>
    <row r="572" spans="2:24" ht="45">
      <c r="B572" s="91" t="s">
        <v>235</v>
      </c>
      <c r="C572" s="91"/>
      <c r="D572" s="214" t="s">
        <v>3385</v>
      </c>
      <c r="E572" s="13">
        <v>41303</v>
      </c>
      <c r="F572" s="26" t="s">
        <v>5002</v>
      </c>
      <c r="G572" s="18" t="s">
        <v>486</v>
      </c>
      <c r="H572" s="18"/>
      <c r="I572" s="67"/>
      <c r="J572" s="607"/>
      <c r="M572" s="67">
        <v>490000</v>
      </c>
      <c r="N572" s="264">
        <f t="shared" si="219"/>
        <v>490000</v>
      </c>
      <c r="P572" s="647" t="s">
        <v>110</v>
      </c>
      <c r="Q572" s="1136" t="s">
        <v>105</v>
      </c>
      <c r="V572" s="15" t="s">
        <v>237</v>
      </c>
    </row>
    <row r="573" spans="2:24" ht="45">
      <c r="B573" s="91" t="s">
        <v>235</v>
      </c>
      <c r="C573" s="91"/>
      <c r="D573" s="214" t="s">
        <v>3386</v>
      </c>
      <c r="E573" s="13">
        <v>41306</v>
      </c>
      <c r="F573" s="26" t="s">
        <v>5002</v>
      </c>
      <c r="G573" s="18" t="s">
        <v>486</v>
      </c>
      <c r="H573" s="18"/>
      <c r="I573" s="67"/>
      <c r="J573" s="607"/>
      <c r="M573" s="67">
        <v>35000</v>
      </c>
      <c r="N573" s="264">
        <f t="shared" si="219"/>
        <v>35000</v>
      </c>
      <c r="P573" s="647" t="s">
        <v>110</v>
      </c>
      <c r="Q573" s="1136" t="s">
        <v>105</v>
      </c>
      <c r="V573" s="15" t="s">
        <v>237</v>
      </c>
    </row>
    <row r="574" spans="2:24" ht="45">
      <c r="B574" s="91" t="s">
        <v>235</v>
      </c>
      <c r="C574" s="91"/>
      <c r="D574" s="214" t="s">
        <v>3387</v>
      </c>
      <c r="E574" s="13">
        <v>41317</v>
      </c>
      <c r="F574" s="26" t="s">
        <v>5002</v>
      </c>
      <c r="G574" s="18" t="s">
        <v>486</v>
      </c>
      <c r="H574" s="18"/>
      <c r="I574" s="67"/>
      <c r="J574" s="607"/>
      <c r="M574" s="67">
        <f>59300+33700</f>
        <v>93000</v>
      </c>
      <c r="N574" s="264">
        <f t="shared" si="219"/>
        <v>93000</v>
      </c>
      <c r="P574" s="647" t="s">
        <v>110</v>
      </c>
      <c r="Q574" s="1136" t="s">
        <v>105</v>
      </c>
      <c r="V574" s="15" t="s">
        <v>237</v>
      </c>
    </row>
    <row r="575" spans="2:24" ht="30">
      <c r="B575" s="91" t="s">
        <v>235</v>
      </c>
      <c r="C575" s="91"/>
      <c r="D575" s="69" t="s">
        <v>3388</v>
      </c>
      <c r="E575" s="13">
        <v>41319</v>
      </c>
      <c r="F575" s="26" t="s">
        <v>5002</v>
      </c>
      <c r="G575" s="18" t="s">
        <v>486</v>
      </c>
      <c r="H575" s="18"/>
      <c r="I575" s="67"/>
      <c r="J575" s="607"/>
      <c r="M575" s="67">
        <v>30000</v>
      </c>
      <c r="N575" s="264">
        <f t="shared" si="219"/>
        <v>30000</v>
      </c>
      <c r="P575" s="647" t="s">
        <v>110</v>
      </c>
      <c r="Q575" s="1136" t="s">
        <v>105</v>
      </c>
      <c r="V575" s="15" t="s">
        <v>237</v>
      </c>
    </row>
    <row r="576" spans="2:24" ht="30">
      <c r="B576" s="91" t="s">
        <v>235</v>
      </c>
      <c r="C576" s="91"/>
      <c r="D576" s="69" t="s">
        <v>4467</v>
      </c>
      <c r="E576" s="13">
        <v>41319</v>
      </c>
      <c r="F576" s="26" t="s">
        <v>5002</v>
      </c>
      <c r="G576" s="18" t="s">
        <v>486</v>
      </c>
      <c r="H576" s="18"/>
      <c r="I576" s="67"/>
      <c r="J576" s="607"/>
      <c r="M576" s="67">
        <v>10000</v>
      </c>
      <c r="N576" s="264">
        <f t="shared" si="219"/>
        <v>10000</v>
      </c>
      <c r="P576" s="647" t="s">
        <v>110</v>
      </c>
      <c r="Q576" s="1136" t="s">
        <v>105</v>
      </c>
      <c r="V576" s="15" t="s">
        <v>237</v>
      </c>
      <c r="X576" s="30" t="s">
        <v>4468</v>
      </c>
    </row>
    <row r="577" spans="2:22" ht="30">
      <c r="B577" s="91" t="s">
        <v>235</v>
      </c>
      <c r="C577" s="91"/>
      <c r="D577" s="69" t="s">
        <v>3389</v>
      </c>
      <c r="E577" s="13">
        <v>41330</v>
      </c>
      <c r="F577" s="26" t="s">
        <v>5002</v>
      </c>
      <c r="G577" s="18" t="s">
        <v>486</v>
      </c>
      <c r="H577" s="18"/>
      <c r="I577" s="67"/>
      <c r="J577" s="607"/>
      <c r="M577" s="67">
        <v>20000</v>
      </c>
      <c r="N577" s="264">
        <f t="shared" si="219"/>
        <v>20000</v>
      </c>
      <c r="P577" s="647" t="s">
        <v>110</v>
      </c>
      <c r="Q577" s="1136" t="s">
        <v>105</v>
      </c>
      <c r="V577" s="15" t="s">
        <v>237</v>
      </c>
    </row>
    <row r="578" spans="2:22" ht="45">
      <c r="B578" s="91" t="s">
        <v>235</v>
      </c>
      <c r="C578" s="91"/>
      <c r="D578" s="214" t="s">
        <v>3390</v>
      </c>
      <c r="E578" s="13">
        <v>41327</v>
      </c>
      <c r="F578" s="26" t="s">
        <v>5002</v>
      </c>
      <c r="G578" s="18" t="s">
        <v>486</v>
      </c>
      <c r="H578" s="18"/>
      <c r="I578" s="67"/>
      <c r="J578" s="607"/>
      <c r="M578" s="67">
        <v>20000</v>
      </c>
      <c r="N578" s="264">
        <f t="shared" si="219"/>
        <v>20000</v>
      </c>
      <c r="P578" s="647" t="s">
        <v>110</v>
      </c>
      <c r="Q578" s="1136" t="s">
        <v>105</v>
      </c>
      <c r="V578" s="15" t="s">
        <v>237</v>
      </c>
    </row>
    <row r="579" spans="2:22" ht="45">
      <c r="B579" s="91" t="s">
        <v>235</v>
      </c>
      <c r="C579" s="91"/>
      <c r="D579" s="214" t="s">
        <v>3391</v>
      </c>
      <c r="E579" s="13">
        <v>41333</v>
      </c>
      <c r="F579" s="26" t="s">
        <v>5002</v>
      </c>
      <c r="G579" s="18" t="s">
        <v>486</v>
      </c>
      <c r="H579" s="18"/>
      <c r="I579" s="67"/>
      <c r="J579" s="607"/>
      <c r="M579" s="67">
        <v>15000</v>
      </c>
      <c r="N579" s="264">
        <f t="shared" si="219"/>
        <v>15000</v>
      </c>
      <c r="P579" s="647" t="s">
        <v>110</v>
      </c>
      <c r="Q579" s="1136" t="s">
        <v>105</v>
      </c>
      <c r="V579" s="15" t="s">
        <v>237</v>
      </c>
    </row>
    <row r="580" spans="2:22" ht="45">
      <c r="B580" s="91" t="s">
        <v>235</v>
      </c>
      <c r="C580" s="91"/>
      <c r="D580" s="214" t="s">
        <v>3392</v>
      </c>
      <c r="E580" s="13">
        <v>41333</v>
      </c>
      <c r="F580" s="26" t="s">
        <v>5002</v>
      </c>
      <c r="G580" s="18" t="s">
        <v>486</v>
      </c>
      <c r="H580" s="18"/>
      <c r="I580" s="67"/>
      <c r="J580" s="607"/>
      <c r="M580" s="67">
        <v>25000</v>
      </c>
      <c r="N580" s="264">
        <f t="shared" si="219"/>
        <v>25000</v>
      </c>
      <c r="P580" s="647" t="s">
        <v>110</v>
      </c>
      <c r="Q580" s="1136" t="s">
        <v>105</v>
      </c>
      <c r="V580" s="15" t="s">
        <v>237</v>
      </c>
    </row>
    <row r="581" spans="2:22" ht="45">
      <c r="B581" s="91" t="s">
        <v>235</v>
      </c>
      <c r="C581" s="91"/>
      <c r="D581" s="214" t="s">
        <v>3393</v>
      </c>
      <c r="E581" s="13">
        <v>41338</v>
      </c>
      <c r="F581" s="26" t="s">
        <v>5002</v>
      </c>
      <c r="G581" s="18" t="s">
        <v>486</v>
      </c>
      <c r="H581" s="18"/>
      <c r="I581" s="67"/>
      <c r="J581" s="607"/>
      <c r="M581" s="67">
        <v>23500</v>
      </c>
      <c r="N581" s="264">
        <f t="shared" si="219"/>
        <v>23500</v>
      </c>
      <c r="P581" s="647" t="s">
        <v>110</v>
      </c>
      <c r="Q581" s="1136" t="s">
        <v>105</v>
      </c>
      <c r="V581" s="15" t="s">
        <v>237</v>
      </c>
    </row>
    <row r="582" spans="2:22" ht="45">
      <c r="B582" s="91" t="s">
        <v>235</v>
      </c>
      <c r="C582" s="91"/>
      <c r="D582" s="214" t="s">
        <v>3394</v>
      </c>
      <c r="E582" s="13">
        <v>41341</v>
      </c>
      <c r="F582" s="26" t="s">
        <v>5002</v>
      </c>
      <c r="G582" s="18" t="s">
        <v>486</v>
      </c>
      <c r="H582" s="18"/>
      <c r="I582" s="67"/>
      <c r="J582" s="607"/>
      <c r="M582" s="67">
        <v>35000</v>
      </c>
      <c r="N582" s="264">
        <f t="shared" si="219"/>
        <v>35000</v>
      </c>
      <c r="P582" s="647" t="s">
        <v>110</v>
      </c>
      <c r="Q582" s="1136" t="s">
        <v>105</v>
      </c>
      <c r="V582" s="15" t="s">
        <v>237</v>
      </c>
    </row>
    <row r="583" spans="2:22" ht="30">
      <c r="B583" s="91" t="s">
        <v>235</v>
      </c>
      <c r="C583" s="91"/>
      <c r="D583" s="69" t="s">
        <v>3395</v>
      </c>
      <c r="E583" s="13">
        <v>41341</v>
      </c>
      <c r="F583" s="26" t="s">
        <v>5002</v>
      </c>
      <c r="G583" s="18" t="s">
        <v>486</v>
      </c>
      <c r="H583" s="18"/>
      <c r="I583" s="67"/>
      <c r="J583" s="607"/>
      <c r="M583" s="67">
        <v>5000</v>
      </c>
      <c r="N583" s="264">
        <f t="shared" si="219"/>
        <v>5000</v>
      </c>
      <c r="P583" s="647" t="s">
        <v>110</v>
      </c>
      <c r="Q583" s="1136" t="s">
        <v>105</v>
      </c>
      <c r="V583" s="15" t="s">
        <v>237</v>
      </c>
    </row>
    <row r="584" spans="2:22" ht="45">
      <c r="B584" s="91" t="s">
        <v>235</v>
      </c>
      <c r="C584" s="91"/>
      <c r="D584" s="214" t="s">
        <v>3396</v>
      </c>
      <c r="E584" s="13">
        <v>41345</v>
      </c>
      <c r="F584" s="26" t="s">
        <v>5002</v>
      </c>
      <c r="G584" s="18" t="s">
        <v>486</v>
      </c>
      <c r="H584" s="18"/>
      <c r="I584" s="67"/>
      <c r="J584" s="607"/>
      <c r="M584" s="67">
        <v>45000</v>
      </c>
      <c r="N584" s="264">
        <f t="shared" si="219"/>
        <v>45000</v>
      </c>
      <c r="P584" s="647" t="s">
        <v>110</v>
      </c>
      <c r="Q584" s="1136" t="s">
        <v>105</v>
      </c>
      <c r="V584" s="15" t="s">
        <v>237</v>
      </c>
    </row>
    <row r="585" spans="2:22" ht="30">
      <c r="B585" s="91" t="s">
        <v>235</v>
      </c>
      <c r="C585" s="91"/>
      <c r="D585" s="69" t="s">
        <v>3397</v>
      </c>
      <c r="E585" s="13">
        <v>41353</v>
      </c>
      <c r="F585" s="26" t="s">
        <v>5002</v>
      </c>
      <c r="G585" s="18" t="s">
        <v>486</v>
      </c>
      <c r="H585" s="18"/>
      <c r="I585" s="67"/>
      <c r="J585" s="607"/>
      <c r="M585" s="67">
        <v>8250</v>
      </c>
      <c r="N585" s="264">
        <f t="shared" si="219"/>
        <v>8250</v>
      </c>
      <c r="P585" s="647" t="s">
        <v>110</v>
      </c>
      <c r="Q585" s="1136" t="s">
        <v>105</v>
      </c>
      <c r="V585" s="15" t="s">
        <v>237</v>
      </c>
    </row>
    <row r="586" spans="2:22" ht="45">
      <c r="B586" s="91" t="s">
        <v>235</v>
      </c>
      <c r="C586" s="91"/>
      <c r="D586" s="214" t="s">
        <v>3398</v>
      </c>
      <c r="E586" s="13">
        <v>41355</v>
      </c>
      <c r="F586" s="26" t="s">
        <v>5002</v>
      </c>
      <c r="G586" s="18" t="s">
        <v>486</v>
      </c>
      <c r="H586" s="18"/>
      <c r="I586" s="67"/>
      <c r="J586" s="607"/>
      <c r="M586" s="67">
        <v>211300</v>
      </c>
      <c r="N586" s="264">
        <f t="shared" si="219"/>
        <v>211300</v>
      </c>
      <c r="P586" s="647" t="s">
        <v>110</v>
      </c>
      <c r="Q586" s="1136" t="s">
        <v>105</v>
      </c>
      <c r="V586" s="15" t="s">
        <v>237</v>
      </c>
    </row>
    <row r="587" spans="2:22" ht="30">
      <c r="B587" s="91" t="s">
        <v>235</v>
      </c>
      <c r="C587" s="91"/>
      <c r="D587" s="69" t="s">
        <v>3399</v>
      </c>
      <c r="E587" s="13">
        <v>41359</v>
      </c>
      <c r="F587" s="26" t="s">
        <v>5002</v>
      </c>
      <c r="G587" s="18" t="s">
        <v>486</v>
      </c>
      <c r="H587" s="18"/>
      <c r="I587" s="67"/>
      <c r="J587" s="607"/>
      <c r="M587" s="67">
        <v>10000</v>
      </c>
      <c r="N587" s="264">
        <f t="shared" si="219"/>
        <v>10000</v>
      </c>
      <c r="P587" s="647" t="s">
        <v>110</v>
      </c>
      <c r="Q587" s="1136" t="s">
        <v>105</v>
      </c>
      <c r="V587" s="15" t="s">
        <v>237</v>
      </c>
    </row>
    <row r="588" spans="2:22" ht="45">
      <c r="B588" s="91" t="s">
        <v>235</v>
      </c>
      <c r="C588" s="91"/>
      <c r="D588" s="214" t="s">
        <v>3400</v>
      </c>
      <c r="E588" s="13">
        <v>41416</v>
      </c>
      <c r="F588" s="26" t="s">
        <v>5002</v>
      </c>
      <c r="G588" s="18" t="s">
        <v>486</v>
      </c>
      <c r="H588" s="18"/>
      <c r="I588" s="67"/>
      <c r="J588" s="607"/>
      <c r="M588" s="67">
        <v>30000</v>
      </c>
      <c r="N588" s="264">
        <f t="shared" si="219"/>
        <v>30000</v>
      </c>
      <c r="P588" s="647" t="s">
        <v>110</v>
      </c>
      <c r="Q588" s="1136" t="s">
        <v>105</v>
      </c>
      <c r="V588" s="15" t="s">
        <v>237</v>
      </c>
    </row>
    <row r="589" spans="2:22" ht="30">
      <c r="B589" s="91" t="s">
        <v>235</v>
      </c>
      <c r="C589" s="91"/>
      <c r="D589" s="69" t="s">
        <v>3401</v>
      </c>
      <c r="E589" s="13">
        <v>41422</v>
      </c>
      <c r="F589" s="26" t="s">
        <v>5002</v>
      </c>
      <c r="G589" s="18" t="s">
        <v>486</v>
      </c>
      <c r="H589" s="18"/>
      <c r="I589" s="67"/>
      <c r="J589" s="607"/>
      <c r="M589" s="67">
        <v>3000</v>
      </c>
      <c r="N589" s="264">
        <f t="shared" si="219"/>
        <v>3000</v>
      </c>
      <c r="P589" s="647" t="s">
        <v>110</v>
      </c>
      <c r="Q589" s="1136" t="s">
        <v>105</v>
      </c>
      <c r="V589" s="15" t="s">
        <v>237</v>
      </c>
    </row>
    <row r="590" spans="2:22" ht="45">
      <c r="B590" s="91" t="s">
        <v>235</v>
      </c>
      <c r="C590" s="91"/>
      <c r="D590" s="214" t="s">
        <v>3402</v>
      </c>
      <c r="E590" s="13">
        <v>41471</v>
      </c>
      <c r="F590" s="26" t="s">
        <v>5002</v>
      </c>
      <c r="G590" s="18" t="s">
        <v>486</v>
      </c>
      <c r="H590" s="18"/>
      <c r="I590" s="67"/>
      <c r="J590" s="607"/>
      <c r="M590" s="67">
        <f>4500+15000</f>
        <v>19500</v>
      </c>
      <c r="N590" s="264">
        <f t="shared" si="219"/>
        <v>19500</v>
      </c>
      <c r="P590" s="647" t="s">
        <v>110</v>
      </c>
      <c r="Q590" s="1136" t="s">
        <v>105</v>
      </c>
      <c r="V590" s="15" t="s">
        <v>237</v>
      </c>
    </row>
    <row r="591" spans="2:22" ht="30">
      <c r="B591" s="91" t="s">
        <v>235</v>
      </c>
      <c r="C591" s="91"/>
      <c r="D591" s="69" t="s">
        <v>3403</v>
      </c>
      <c r="E591" s="13">
        <v>41493</v>
      </c>
      <c r="F591" s="26" t="s">
        <v>5002</v>
      </c>
      <c r="G591" s="18" t="s">
        <v>486</v>
      </c>
      <c r="H591" s="18"/>
      <c r="I591" s="67"/>
      <c r="J591" s="607"/>
      <c r="M591" s="67">
        <v>500</v>
      </c>
      <c r="N591" s="264">
        <f t="shared" si="219"/>
        <v>500</v>
      </c>
      <c r="P591" s="647" t="s">
        <v>110</v>
      </c>
      <c r="Q591" s="1136" t="s">
        <v>105</v>
      </c>
      <c r="V591" s="15" t="s">
        <v>237</v>
      </c>
    </row>
    <row r="592" spans="2:22" ht="30">
      <c r="B592" s="89" t="s">
        <v>3404</v>
      </c>
      <c r="C592" s="89"/>
      <c r="D592" s="69" t="s">
        <v>3405</v>
      </c>
      <c r="E592" s="13">
        <v>41502</v>
      </c>
      <c r="F592" s="26" t="s">
        <v>5002</v>
      </c>
      <c r="G592" s="18" t="s">
        <v>486</v>
      </c>
      <c r="H592" s="18"/>
      <c r="I592" s="67"/>
      <c r="J592" s="607"/>
      <c r="M592" s="67">
        <v>-2000</v>
      </c>
      <c r="N592" s="264">
        <f t="shared" si="219"/>
        <v>-2000</v>
      </c>
      <c r="P592" s="647" t="s">
        <v>110</v>
      </c>
      <c r="Q592" s="1136" t="s">
        <v>105</v>
      </c>
      <c r="V592" s="15" t="s">
        <v>237</v>
      </c>
    </row>
    <row r="593" spans="2:22" ht="30">
      <c r="B593" s="91" t="s">
        <v>235</v>
      </c>
      <c r="C593" s="91"/>
      <c r="D593" s="69" t="s">
        <v>3406</v>
      </c>
      <c r="E593" s="13">
        <v>41502</v>
      </c>
      <c r="F593" s="26" t="s">
        <v>5002</v>
      </c>
      <c r="G593" s="18" t="s">
        <v>486</v>
      </c>
      <c r="H593" s="18"/>
      <c r="I593" s="67"/>
      <c r="J593" s="607"/>
      <c r="M593" s="67">
        <v>2000</v>
      </c>
      <c r="N593" s="264">
        <f t="shared" si="219"/>
        <v>2000</v>
      </c>
      <c r="P593" s="647" t="s">
        <v>110</v>
      </c>
      <c r="Q593" s="1136" t="s">
        <v>105</v>
      </c>
      <c r="V593" s="15" t="s">
        <v>237</v>
      </c>
    </row>
    <row r="594" spans="2:22" ht="30">
      <c r="B594" s="91" t="s">
        <v>235</v>
      </c>
      <c r="C594" s="91"/>
      <c r="D594" s="69" t="s">
        <v>3407</v>
      </c>
      <c r="E594" s="13">
        <v>41568</v>
      </c>
      <c r="F594" s="26" t="s">
        <v>5002</v>
      </c>
      <c r="G594" s="18" t="s">
        <v>486</v>
      </c>
      <c r="H594" s="18"/>
      <c r="I594" s="67"/>
      <c r="J594" s="607"/>
      <c r="M594" s="67">
        <v>5000</v>
      </c>
      <c r="N594" s="264">
        <f t="shared" si="219"/>
        <v>5000</v>
      </c>
      <c r="P594" s="647" t="s">
        <v>110</v>
      </c>
      <c r="Q594" s="1136" t="s">
        <v>105</v>
      </c>
      <c r="V594" s="15"/>
    </row>
    <row r="596" spans="2:22">
      <c r="B596" s="1197" t="s">
        <v>70</v>
      </c>
      <c r="C596" s="1197"/>
      <c r="K596" s="1204"/>
      <c r="L596" s="479">
        <f>L597</f>
        <v>226662.6</v>
      </c>
      <c r="M596" s="1204"/>
      <c r="N596" s="479">
        <f>N597</f>
        <v>226662.6</v>
      </c>
      <c r="R596" s="479">
        <f t="shared" ref="R596:S596" si="220">R597</f>
        <v>157178</v>
      </c>
      <c r="S596" s="479">
        <f t="shared" si="220"/>
        <v>11820</v>
      </c>
    </row>
    <row r="597" spans="2:22">
      <c r="B597" s="91" t="s">
        <v>3408</v>
      </c>
      <c r="C597" s="89"/>
      <c r="D597" s="638"/>
      <c r="E597" s="639"/>
      <c r="F597" s="639"/>
      <c r="G597" s="636"/>
      <c r="H597" s="637"/>
      <c r="I597" s="188">
        <v>141629</v>
      </c>
      <c r="J597" s="640"/>
      <c r="K597" s="1232"/>
      <c r="L597" s="641">
        <f>SUM(L598:L644)</f>
        <v>226662.6</v>
      </c>
      <c r="M597" s="641"/>
      <c r="N597" s="641">
        <f>SUM(N598:N644)</f>
        <v>226662.6</v>
      </c>
      <c r="O597" s="236">
        <f>I597+N597</f>
        <v>368291.6</v>
      </c>
      <c r="Q597" s="14"/>
      <c r="R597" s="641">
        <f t="shared" ref="R597:S597" si="221">SUM(R598:R644)</f>
        <v>157178</v>
      </c>
      <c r="S597" s="641">
        <f t="shared" si="221"/>
        <v>11820</v>
      </c>
    </row>
    <row r="598" spans="2:22" ht="120">
      <c r="B598" s="1101"/>
      <c r="C598" s="1101"/>
      <c r="D598" s="182" t="s">
        <v>3409</v>
      </c>
      <c r="E598" s="419">
        <v>41121</v>
      </c>
      <c r="F598" s="419" t="s">
        <v>5749</v>
      </c>
      <c r="G598" s="72" t="s">
        <v>5979</v>
      </c>
      <c r="H598" s="1103"/>
      <c r="I598" s="186"/>
      <c r="J598" s="186"/>
      <c r="L598" s="186">
        <v>1500</v>
      </c>
      <c r="M598" s="203"/>
      <c r="N598" s="203">
        <f>SUM(K598:M598)</f>
        <v>1500</v>
      </c>
      <c r="O598" s="184"/>
      <c r="P598" s="647" t="s">
        <v>110</v>
      </c>
      <c r="Q598" s="1136" t="s">
        <v>105</v>
      </c>
      <c r="R598" s="1003">
        <v>1483</v>
      </c>
      <c r="S598" s="1003">
        <v>2269</v>
      </c>
      <c r="V598" s="203" t="s">
        <v>278</v>
      </c>
    </row>
    <row r="599" spans="2:22" ht="120">
      <c r="B599" s="1101"/>
      <c r="C599" s="1101"/>
      <c r="D599" s="182" t="s">
        <v>3410</v>
      </c>
      <c r="E599" s="419">
        <v>41121</v>
      </c>
      <c r="F599" s="419" t="s">
        <v>5749</v>
      </c>
      <c r="G599" s="72" t="s">
        <v>5979</v>
      </c>
      <c r="H599" s="1103"/>
      <c r="I599" s="186"/>
      <c r="J599" s="186"/>
      <c r="L599" s="186">
        <v>1000</v>
      </c>
      <c r="M599" s="203"/>
      <c r="N599" s="203">
        <f t="shared" ref="N599:N622" si="222">SUM(K599:M599)</f>
        <v>1000</v>
      </c>
      <c r="O599" s="184"/>
      <c r="P599" s="647" t="s">
        <v>110</v>
      </c>
      <c r="Q599" s="1136" t="s">
        <v>105</v>
      </c>
      <c r="R599" s="1003"/>
      <c r="S599" s="1003"/>
      <c r="V599" s="203" t="s">
        <v>278</v>
      </c>
    </row>
    <row r="600" spans="2:22" ht="120">
      <c r="B600" s="1101"/>
      <c r="C600" s="1101"/>
      <c r="D600" s="182" t="s">
        <v>3411</v>
      </c>
      <c r="E600" s="419">
        <v>41121</v>
      </c>
      <c r="F600" s="419" t="s">
        <v>5749</v>
      </c>
      <c r="G600" s="72" t="s">
        <v>5979</v>
      </c>
      <c r="H600" s="1103"/>
      <c r="I600" s="186"/>
      <c r="J600" s="186"/>
      <c r="L600" s="186">
        <v>1000</v>
      </c>
      <c r="M600" s="203"/>
      <c r="N600" s="203">
        <f t="shared" si="222"/>
        <v>1000</v>
      </c>
      <c r="O600" s="184"/>
      <c r="P600" s="647" t="s">
        <v>110</v>
      </c>
      <c r="Q600" s="1136" t="s">
        <v>105</v>
      </c>
      <c r="R600" s="1003">
        <f>817+183</f>
        <v>1000</v>
      </c>
      <c r="S600" s="1003"/>
      <c r="V600" s="203" t="s">
        <v>278</v>
      </c>
    </row>
    <row r="601" spans="2:22" ht="120">
      <c r="B601" s="1101"/>
      <c r="C601" s="1101"/>
      <c r="D601" s="182" t="s">
        <v>3412</v>
      </c>
      <c r="E601" s="419">
        <v>41121</v>
      </c>
      <c r="F601" s="419" t="s">
        <v>5749</v>
      </c>
      <c r="G601" s="72" t="s">
        <v>5979</v>
      </c>
      <c r="H601" s="1103"/>
      <c r="I601" s="186"/>
      <c r="J601" s="186"/>
      <c r="L601" s="186">
        <v>1000</v>
      </c>
      <c r="M601" s="203"/>
      <c r="N601" s="203">
        <f t="shared" si="222"/>
        <v>1000</v>
      </c>
      <c r="O601" s="184"/>
      <c r="P601" s="647" t="s">
        <v>110</v>
      </c>
      <c r="Q601" s="1136" t="s">
        <v>105</v>
      </c>
      <c r="R601" s="1003"/>
      <c r="S601" s="1003"/>
      <c r="V601" s="203" t="s">
        <v>278</v>
      </c>
    </row>
    <row r="602" spans="2:22" ht="120">
      <c r="B602" s="1101"/>
      <c r="C602" s="1101"/>
      <c r="D602" s="182" t="s">
        <v>3413</v>
      </c>
      <c r="E602" s="419">
        <v>41127</v>
      </c>
      <c r="F602" s="419" t="s">
        <v>5749</v>
      </c>
      <c r="G602" s="72" t="s">
        <v>5979</v>
      </c>
      <c r="H602" s="1103"/>
      <c r="I602" s="186"/>
      <c r="J602" s="186"/>
      <c r="L602" s="186">
        <v>5000</v>
      </c>
      <c r="M602" s="203"/>
      <c r="N602" s="203">
        <f t="shared" si="222"/>
        <v>5000</v>
      </c>
      <c r="O602" s="184"/>
      <c r="P602" s="647" t="s">
        <v>110</v>
      </c>
      <c r="Q602" s="1136" t="s">
        <v>105</v>
      </c>
      <c r="R602" s="1003">
        <f>67+4933</f>
        <v>5000</v>
      </c>
      <c r="S602" s="1003"/>
      <c r="V602" s="203" t="s">
        <v>278</v>
      </c>
    </row>
    <row r="603" spans="2:22" ht="120">
      <c r="B603" s="1101"/>
      <c r="C603" s="1101"/>
      <c r="D603" s="182" t="s">
        <v>3414</v>
      </c>
      <c r="E603" s="419">
        <v>41131</v>
      </c>
      <c r="F603" s="419" t="s">
        <v>5749</v>
      </c>
      <c r="G603" s="72" t="s">
        <v>5979</v>
      </c>
      <c r="H603" s="1103"/>
      <c r="I603" s="186"/>
      <c r="J603" s="186"/>
      <c r="L603" s="186">
        <v>5000</v>
      </c>
      <c r="M603" s="203"/>
      <c r="N603" s="203">
        <f t="shared" si="222"/>
        <v>5000</v>
      </c>
      <c r="O603" s="184"/>
      <c r="P603" s="647" t="s">
        <v>110</v>
      </c>
      <c r="Q603" s="1136" t="s">
        <v>105</v>
      </c>
      <c r="R603" s="1003"/>
      <c r="S603" s="1003"/>
      <c r="V603" s="203" t="s">
        <v>278</v>
      </c>
    </row>
    <row r="604" spans="2:22" ht="120">
      <c r="B604" s="1101"/>
      <c r="C604" s="1101"/>
      <c r="D604" s="182" t="s">
        <v>3415</v>
      </c>
      <c r="E604" s="419">
        <v>41171</v>
      </c>
      <c r="F604" s="419" t="s">
        <v>5749</v>
      </c>
      <c r="G604" s="72" t="s">
        <v>5979</v>
      </c>
      <c r="H604" s="1103"/>
      <c r="I604" s="186"/>
      <c r="J604" s="186"/>
      <c r="L604" s="186">
        <v>6260</v>
      </c>
      <c r="M604" s="203"/>
      <c r="N604" s="203">
        <f t="shared" si="222"/>
        <v>6260</v>
      </c>
      <c r="O604" s="184"/>
      <c r="P604" s="647" t="s">
        <v>110</v>
      </c>
      <c r="Q604" s="1136" t="s">
        <v>105</v>
      </c>
      <c r="R604" s="1003">
        <v>6260</v>
      </c>
      <c r="S604" s="1003">
        <f>20+20</f>
        <v>40</v>
      </c>
      <c r="V604" s="203" t="s">
        <v>278</v>
      </c>
    </row>
    <row r="605" spans="2:22" ht="120">
      <c r="B605" s="1101"/>
      <c r="C605" s="1101"/>
      <c r="D605" s="182" t="s">
        <v>3416</v>
      </c>
      <c r="E605" s="419">
        <v>41173</v>
      </c>
      <c r="F605" s="419" t="s">
        <v>5749</v>
      </c>
      <c r="G605" s="72" t="s">
        <v>5979</v>
      </c>
      <c r="H605" s="1103"/>
      <c r="I605" s="186"/>
      <c r="J605" s="186"/>
      <c r="L605" s="186">
        <v>250</v>
      </c>
      <c r="M605" s="203"/>
      <c r="N605" s="203">
        <f t="shared" si="222"/>
        <v>250</v>
      </c>
      <c r="O605" s="184"/>
      <c r="P605" s="647" t="s">
        <v>110</v>
      </c>
      <c r="Q605" s="1136" t="s">
        <v>105</v>
      </c>
      <c r="R605" s="1003">
        <v>250</v>
      </c>
      <c r="S605" s="1003">
        <v>323</v>
      </c>
      <c r="V605" s="203" t="s">
        <v>278</v>
      </c>
    </row>
    <row r="606" spans="2:22" ht="120">
      <c r="B606" s="1101"/>
      <c r="C606" s="1101"/>
      <c r="D606" s="182" t="s">
        <v>3417</v>
      </c>
      <c r="E606" s="419">
        <v>41180</v>
      </c>
      <c r="F606" s="419" t="s">
        <v>5749</v>
      </c>
      <c r="G606" s="72" t="s">
        <v>5979</v>
      </c>
      <c r="H606" s="1103"/>
      <c r="I606" s="186"/>
      <c r="J606" s="186"/>
      <c r="L606" s="186">
        <v>3000</v>
      </c>
      <c r="M606" s="203"/>
      <c r="N606" s="203">
        <f t="shared" si="222"/>
        <v>3000</v>
      </c>
      <c r="O606" s="184"/>
      <c r="P606" s="647" t="s">
        <v>110</v>
      </c>
      <c r="Q606" s="1136" t="s">
        <v>105</v>
      </c>
      <c r="R606" s="1003">
        <v>3000</v>
      </c>
      <c r="V606" s="203" t="s">
        <v>278</v>
      </c>
    </row>
    <row r="607" spans="2:22" ht="120">
      <c r="B607" s="1101"/>
      <c r="C607" s="1101"/>
      <c r="D607" s="182" t="s">
        <v>3418</v>
      </c>
      <c r="E607" s="419">
        <v>41193</v>
      </c>
      <c r="F607" s="419" t="s">
        <v>5749</v>
      </c>
      <c r="G607" s="72" t="s">
        <v>5979</v>
      </c>
      <c r="H607" s="1103"/>
      <c r="I607" s="186"/>
      <c r="J607" s="186"/>
      <c r="L607" s="186">
        <v>4000</v>
      </c>
      <c r="M607" s="203"/>
      <c r="N607" s="203">
        <f t="shared" si="222"/>
        <v>4000</v>
      </c>
      <c r="O607" s="184"/>
      <c r="P607" s="647" t="s">
        <v>110</v>
      </c>
      <c r="Q607" s="1136" t="s">
        <v>105</v>
      </c>
      <c r="R607" s="1003">
        <v>4000</v>
      </c>
      <c r="S607" s="1003">
        <v>287</v>
      </c>
      <c r="V607" s="203" t="s">
        <v>278</v>
      </c>
    </row>
    <row r="608" spans="2:22" ht="120">
      <c r="B608" s="1101"/>
      <c r="C608" s="1101"/>
      <c r="D608" s="182" t="s">
        <v>3419</v>
      </c>
      <c r="E608" s="419">
        <v>41200</v>
      </c>
      <c r="F608" s="419" t="s">
        <v>5749</v>
      </c>
      <c r="G608" s="72" t="s">
        <v>5979</v>
      </c>
      <c r="H608" s="1103"/>
      <c r="I608" s="186"/>
      <c r="J608" s="186"/>
      <c r="L608" s="186">
        <v>8500</v>
      </c>
      <c r="M608" s="203"/>
      <c r="N608" s="203">
        <f t="shared" si="222"/>
        <v>8500</v>
      </c>
      <c r="O608" s="184"/>
      <c r="P608" s="647" t="s">
        <v>110</v>
      </c>
      <c r="Q608" s="1136" t="s">
        <v>105</v>
      </c>
      <c r="R608" s="1003">
        <f>2895+3105</f>
        <v>6000</v>
      </c>
      <c r="S608" s="1003">
        <f>1230+1710</f>
        <v>2940</v>
      </c>
      <c r="V608" s="203" t="s">
        <v>278</v>
      </c>
    </row>
    <row r="609" spans="2:22" ht="120">
      <c r="B609" s="1101"/>
      <c r="C609" s="1101"/>
      <c r="D609" s="182" t="s">
        <v>3420</v>
      </c>
      <c r="E609" s="419">
        <v>41204</v>
      </c>
      <c r="F609" s="419" t="s">
        <v>5749</v>
      </c>
      <c r="G609" s="72" t="s">
        <v>5979</v>
      </c>
      <c r="H609" s="1103"/>
      <c r="I609" s="186"/>
      <c r="J609" s="186"/>
      <c r="L609" s="186">
        <v>3000</v>
      </c>
      <c r="M609" s="203"/>
      <c r="N609" s="203">
        <f t="shared" si="222"/>
        <v>3000</v>
      </c>
      <c r="O609" s="184"/>
      <c r="P609" s="647" t="s">
        <v>110</v>
      </c>
      <c r="Q609" s="1136" t="s">
        <v>105</v>
      </c>
      <c r="V609" s="203" t="s">
        <v>278</v>
      </c>
    </row>
    <row r="610" spans="2:22" ht="120">
      <c r="B610" s="1101"/>
      <c r="C610" s="1101"/>
      <c r="D610" s="182" t="s">
        <v>3421</v>
      </c>
      <c r="E610" s="419">
        <v>41204</v>
      </c>
      <c r="F610" s="419" t="s">
        <v>5749</v>
      </c>
      <c r="G610" s="72" t="s">
        <v>5979</v>
      </c>
      <c r="H610" s="1103"/>
      <c r="I610" s="186"/>
      <c r="J610" s="186"/>
      <c r="L610" s="186">
        <v>2500</v>
      </c>
      <c r="M610" s="203"/>
      <c r="N610" s="203">
        <f t="shared" si="222"/>
        <v>2500</v>
      </c>
      <c r="O610" s="184"/>
      <c r="P610" s="647" t="s">
        <v>110</v>
      </c>
      <c r="Q610" s="1136" t="s">
        <v>105</v>
      </c>
      <c r="R610" s="1003">
        <v>2498</v>
      </c>
      <c r="S610" s="1003">
        <v>1841</v>
      </c>
      <c r="V610" s="203" t="s">
        <v>278</v>
      </c>
    </row>
    <row r="611" spans="2:22" ht="120">
      <c r="B611" s="1101"/>
      <c r="C611" s="1101"/>
      <c r="D611" s="182" t="s">
        <v>3422</v>
      </c>
      <c r="E611" s="419">
        <v>41206</v>
      </c>
      <c r="F611" s="419" t="s">
        <v>5749</v>
      </c>
      <c r="G611" s="72" t="s">
        <v>5979</v>
      </c>
      <c r="H611" s="1103"/>
      <c r="I611" s="186"/>
      <c r="J611" s="186"/>
      <c r="L611" s="186">
        <v>3500</v>
      </c>
      <c r="M611" s="203"/>
      <c r="N611" s="203">
        <f t="shared" si="222"/>
        <v>3500</v>
      </c>
      <c r="O611" s="184"/>
      <c r="P611" s="647" t="s">
        <v>110</v>
      </c>
      <c r="Q611" s="1136" t="s">
        <v>105</v>
      </c>
      <c r="R611" s="1003">
        <f>706+2794</f>
        <v>3500</v>
      </c>
      <c r="S611" s="1003">
        <f>250+330</f>
        <v>580</v>
      </c>
      <c r="V611" s="203" t="s">
        <v>278</v>
      </c>
    </row>
    <row r="612" spans="2:22" ht="120">
      <c r="B612" s="1101"/>
      <c r="C612" s="1101"/>
      <c r="D612" s="182" t="s">
        <v>3423</v>
      </c>
      <c r="E612" s="419">
        <v>41221</v>
      </c>
      <c r="F612" s="419" t="s">
        <v>5749</v>
      </c>
      <c r="G612" s="72" t="s">
        <v>5979</v>
      </c>
      <c r="H612" s="1103"/>
      <c r="I612" s="186"/>
      <c r="J612" s="186"/>
      <c r="L612" s="186">
        <v>3000</v>
      </c>
      <c r="M612" s="203"/>
      <c r="N612" s="203">
        <f t="shared" si="222"/>
        <v>3000</v>
      </c>
      <c r="O612" s="184"/>
      <c r="P612" s="647" t="s">
        <v>110</v>
      </c>
      <c r="Q612" s="1136" t="s">
        <v>105</v>
      </c>
      <c r="R612" s="1003">
        <f>71+2929</f>
        <v>3000</v>
      </c>
      <c r="V612" s="203" t="s">
        <v>278</v>
      </c>
    </row>
    <row r="613" spans="2:22" ht="120">
      <c r="B613" s="1101"/>
      <c r="C613" s="1101"/>
      <c r="D613" s="182" t="s">
        <v>3424</v>
      </c>
      <c r="E613" s="419">
        <v>41225</v>
      </c>
      <c r="F613" s="419" t="s">
        <v>5749</v>
      </c>
      <c r="G613" s="72" t="s">
        <v>5979</v>
      </c>
      <c r="H613" s="1103"/>
      <c r="I613" s="186"/>
      <c r="J613" s="186"/>
      <c r="L613" s="186">
        <v>5000</v>
      </c>
      <c r="M613" s="203"/>
      <c r="N613" s="203">
        <f t="shared" si="222"/>
        <v>5000</v>
      </c>
      <c r="O613" s="184"/>
      <c r="P613" s="647" t="s">
        <v>110</v>
      </c>
      <c r="Q613" s="1136" t="s">
        <v>105</v>
      </c>
      <c r="R613" s="1003">
        <f>1522+2478</f>
        <v>4000</v>
      </c>
      <c r="V613" s="203" t="s">
        <v>278</v>
      </c>
    </row>
    <row r="614" spans="2:22" ht="120">
      <c r="B614" s="1101"/>
      <c r="C614" s="1101"/>
      <c r="D614" s="182" t="s">
        <v>3425</v>
      </c>
      <c r="E614" s="419">
        <v>41250</v>
      </c>
      <c r="F614" s="182" t="s">
        <v>5499</v>
      </c>
      <c r="G614" s="1145" t="s">
        <v>6568</v>
      </c>
      <c r="H614" s="1103"/>
      <c r="I614" s="186"/>
      <c r="J614" s="186"/>
      <c r="L614" s="186">
        <v>500</v>
      </c>
      <c r="M614" s="203"/>
      <c r="N614" s="203">
        <f t="shared" si="222"/>
        <v>500</v>
      </c>
      <c r="O614" s="184"/>
      <c r="P614" s="647" t="s">
        <v>110</v>
      </c>
      <c r="Q614" s="1136" t="s">
        <v>105</v>
      </c>
      <c r="R614" s="1003">
        <v>249</v>
      </c>
      <c r="S614" s="1003">
        <v>190</v>
      </c>
      <c r="V614" s="203" t="s">
        <v>278</v>
      </c>
    </row>
    <row r="615" spans="2:22" ht="120">
      <c r="B615" s="1101"/>
      <c r="C615" s="1101"/>
      <c r="D615" s="182" t="s">
        <v>3426</v>
      </c>
      <c r="E615" s="419">
        <v>41250</v>
      </c>
      <c r="F615" s="419" t="s">
        <v>5749</v>
      </c>
      <c r="G615" s="72" t="s">
        <v>5979</v>
      </c>
      <c r="H615" s="1103"/>
      <c r="I615" s="186"/>
      <c r="J615" s="186"/>
      <c r="L615" s="186">
        <v>20000</v>
      </c>
      <c r="M615" s="203"/>
      <c r="N615" s="203">
        <f t="shared" si="222"/>
        <v>20000</v>
      </c>
      <c r="O615" s="184"/>
      <c r="P615" s="647" t="s">
        <v>110</v>
      </c>
      <c r="Q615" s="1136" t="s">
        <v>105</v>
      </c>
      <c r="V615" s="203" t="s">
        <v>278</v>
      </c>
    </row>
    <row r="616" spans="2:22" ht="120">
      <c r="B616" s="1101"/>
      <c r="C616" s="1101"/>
      <c r="D616" s="182" t="s">
        <v>3427</v>
      </c>
      <c r="E616" s="419">
        <v>41260</v>
      </c>
      <c r="F616" s="419" t="s">
        <v>5749</v>
      </c>
      <c r="G616" s="72" t="s">
        <v>5979</v>
      </c>
      <c r="H616" s="1103"/>
      <c r="I616" s="186"/>
      <c r="J616" s="186"/>
      <c r="L616" s="186">
        <v>2000</v>
      </c>
      <c r="M616" s="203"/>
      <c r="N616" s="203">
        <f t="shared" si="222"/>
        <v>2000</v>
      </c>
      <c r="O616" s="184"/>
      <c r="P616" s="647" t="s">
        <v>110</v>
      </c>
      <c r="Q616" s="1136" t="s">
        <v>105</v>
      </c>
      <c r="R616" s="1003">
        <v>2000</v>
      </c>
      <c r="V616" s="203" t="s">
        <v>278</v>
      </c>
    </row>
    <row r="617" spans="2:22" ht="120">
      <c r="B617" s="1101"/>
      <c r="C617" s="1101"/>
      <c r="D617" s="182" t="s">
        <v>3428</v>
      </c>
      <c r="E617" s="419">
        <v>41260</v>
      </c>
      <c r="F617" s="419" t="s">
        <v>5749</v>
      </c>
      <c r="G617" s="72" t="s">
        <v>5979</v>
      </c>
      <c r="H617" s="1103"/>
      <c r="I617" s="186"/>
      <c r="J617" s="186"/>
      <c r="L617" s="186">
        <v>400</v>
      </c>
      <c r="M617" s="203"/>
      <c r="N617" s="203">
        <f t="shared" si="222"/>
        <v>400</v>
      </c>
      <c r="O617" s="184"/>
      <c r="P617" s="647" t="s">
        <v>110</v>
      </c>
      <c r="Q617" s="1136" t="s">
        <v>105</v>
      </c>
      <c r="R617" s="1003">
        <v>199</v>
      </c>
      <c r="V617" s="203" t="s">
        <v>278</v>
      </c>
    </row>
    <row r="618" spans="2:22" ht="120">
      <c r="B618" s="1101"/>
      <c r="C618" s="1101"/>
      <c r="D618" s="182" t="s">
        <v>3429</v>
      </c>
      <c r="E618" s="419">
        <v>41260</v>
      </c>
      <c r="F618" s="419" t="s">
        <v>5749</v>
      </c>
      <c r="G618" s="72" t="s">
        <v>5979</v>
      </c>
      <c r="H618" s="1103"/>
      <c r="I618" s="186"/>
      <c r="J618" s="186"/>
      <c r="L618" s="186">
        <v>2300</v>
      </c>
      <c r="M618" s="203"/>
      <c r="N618" s="203">
        <f t="shared" si="222"/>
        <v>2300</v>
      </c>
      <c r="O618" s="184"/>
      <c r="P618" s="647" t="s">
        <v>110</v>
      </c>
      <c r="Q618" s="1136" t="s">
        <v>105</v>
      </c>
      <c r="R618" s="1003">
        <v>2300</v>
      </c>
      <c r="V618" s="203" t="s">
        <v>278</v>
      </c>
    </row>
    <row r="619" spans="2:22" ht="120">
      <c r="B619" s="1101"/>
      <c r="C619" s="1101"/>
      <c r="D619" s="182" t="s">
        <v>3430</v>
      </c>
      <c r="E619" s="419">
        <v>41250</v>
      </c>
      <c r="F619" s="419" t="s">
        <v>5749</v>
      </c>
      <c r="G619" s="72" t="s">
        <v>5979</v>
      </c>
      <c r="H619" s="1103"/>
      <c r="I619" s="186"/>
      <c r="J619" s="186"/>
      <c r="L619" s="186">
        <v>3750</v>
      </c>
      <c r="M619" s="203"/>
      <c r="N619" s="203">
        <f t="shared" si="222"/>
        <v>3750</v>
      </c>
      <c r="O619" s="184"/>
      <c r="P619" s="647" t="s">
        <v>110</v>
      </c>
      <c r="Q619" s="1136" t="s">
        <v>105</v>
      </c>
      <c r="R619" s="1003">
        <v>3733</v>
      </c>
      <c r="V619" s="203" t="s">
        <v>278</v>
      </c>
    </row>
    <row r="620" spans="2:22" ht="120">
      <c r="B620" s="1101"/>
      <c r="C620" s="1101"/>
      <c r="D620" s="182" t="s">
        <v>3431</v>
      </c>
      <c r="E620" s="419">
        <v>41263</v>
      </c>
      <c r="F620" s="419" t="s">
        <v>5749</v>
      </c>
      <c r="G620" s="72" t="s">
        <v>5979</v>
      </c>
      <c r="H620" s="1103"/>
      <c r="I620" s="186"/>
      <c r="J620" s="186"/>
      <c r="L620" s="186">
        <v>20000</v>
      </c>
      <c r="M620" s="203"/>
      <c r="N620" s="203">
        <f t="shared" si="222"/>
        <v>20000</v>
      </c>
      <c r="O620" s="184"/>
      <c r="P620" s="647" t="s">
        <v>110</v>
      </c>
      <c r="Q620" s="1136" t="s">
        <v>105</v>
      </c>
      <c r="R620" s="1003">
        <v>9825</v>
      </c>
      <c r="S620" s="1003">
        <v>248</v>
      </c>
      <c r="V620" s="203" t="s">
        <v>278</v>
      </c>
    </row>
    <row r="621" spans="2:22" ht="120">
      <c r="B621" s="1101"/>
      <c r="C621" s="1101"/>
      <c r="D621" s="182" t="s">
        <v>3432</v>
      </c>
      <c r="E621" s="419">
        <v>41270</v>
      </c>
      <c r="F621" s="419" t="s">
        <v>5749</v>
      </c>
      <c r="G621" s="72" t="s">
        <v>5979</v>
      </c>
      <c r="H621" s="1103"/>
      <c r="I621" s="186"/>
      <c r="J621" s="186"/>
      <c r="L621" s="186">
        <v>3000</v>
      </c>
      <c r="M621" s="203"/>
      <c r="N621" s="203">
        <f t="shared" si="222"/>
        <v>3000</v>
      </c>
      <c r="O621" s="184"/>
      <c r="P621" s="647" t="s">
        <v>110</v>
      </c>
      <c r="Q621" s="1136" t="s">
        <v>105</v>
      </c>
      <c r="R621" s="1003">
        <v>3000</v>
      </c>
      <c r="V621" s="203" t="s">
        <v>278</v>
      </c>
    </row>
    <row r="622" spans="2:22" ht="120">
      <c r="B622" s="1101"/>
      <c r="C622" s="1101"/>
      <c r="D622" s="182" t="s">
        <v>3433</v>
      </c>
      <c r="E622" s="419">
        <v>41271</v>
      </c>
      <c r="F622" s="419" t="s">
        <v>5749</v>
      </c>
      <c r="G622" s="72" t="s">
        <v>5979</v>
      </c>
      <c r="H622" s="1103"/>
      <c r="I622" s="186"/>
      <c r="J622" s="186"/>
      <c r="L622" s="186">
        <v>10000</v>
      </c>
      <c r="M622" s="203"/>
      <c r="N622" s="203">
        <f t="shared" si="222"/>
        <v>10000</v>
      </c>
      <c r="O622" s="184"/>
      <c r="P622" s="647" t="s">
        <v>110</v>
      </c>
      <c r="Q622" s="1136" t="s">
        <v>105</v>
      </c>
      <c r="R622" s="1003">
        <v>7861</v>
      </c>
      <c r="V622" s="203" t="s">
        <v>278</v>
      </c>
    </row>
    <row r="623" spans="2:22" ht="120">
      <c r="B623" s="1101"/>
      <c r="C623" s="1101"/>
      <c r="D623" s="182" t="s">
        <v>3434</v>
      </c>
      <c r="E623" s="419">
        <v>41110</v>
      </c>
      <c r="F623" s="419" t="s">
        <v>5749</v>
      </c>
      <c r="G623" s="72" t="s">
        <v>5979</v>
      </c>
      <c r="H623" s="1103"/>
      <c r="I623" s="186"/>
      <c r="J623" s="186"/>
      <c r="L623" s="186">
        <v>10000</v>
      </c>
      <c r="M623" s="203"/>
      <c r="N623" s="203">
        <f>SUM(K623:M623)</f>
        <v>10000</v>
      </c>
      <c r="O623" s="184"/>
      <c r="P623" s="647" t="s">
        <v>110</v>
      </c>
      <c r="Q623" s="1136" t="s">
        <v>105</v>
      </c>
      <c r="R623" s="1003">
        <v>10000</v>
      </c>
      <c r="V623" s="203" t="s">
        <v>278</v>
      </c>
    </row>
    <row r="624" spans="2:22" ht="45">
      <c r="B624" s="1101"/>
      <c r="C624" s="1101"/>
      <c r="D624" s="77" t="s">
        <v>3435</v>
      </c>
      <c r="E624" s="78">
        <v>41284</v>
      </c>
      <c r="F624" s="78" t="s">
        <v>5499</v>
      </c>
      <c r="G624" s="72" t="s">
        <v>5980</v>
      </c>
      <c r="H624" s="1103"/>
      <c r="I624" s="264"/>
      <c r="J624" s="264"/>
      <c r="L624" s="264">
        <v>1480</v>
      </c>
      <c r="M624" s="246"/>
      <c r="N624" s="264">
        <f t="shared" ref="N624:N644" si="223">SUM(K624:M624)</f>
        <v>1480</v>
      </c>
      <c r="O624" s="246"/>
      <c r="P624" s="647" t="s">
        <v>110</v>
      </c>
      <c r="Q624" s="1136" t="s">
        <v>105</v>
      </c>
      <c r="R624" s="1003">
        <v>1480</v>
      </c>
      <c r="V624" s="203" t="s">
        <v>3436</v>
      </c>
    </row>
    <row r="625" spans="2:22" ht="45">
      <c r="B625" s="1101"/>
      <c r="C625" s="1101"/>
      <c r="D625" s="77" t="s">
        <v>3437</v>
      </c>
      <c r="E625" s="78">
        <v>41284</v>
      </c>
      <c r="F625" s="78" t="s">
        <v>5499</v>
      </c>
      <c r="G625" s="72" t="s">
        <v>5980</v>
      </c>
      <c r="H625" s="1103"/>
      <c r="I625" s="264"/>
      <c r="J625" s="264"/>
      <c r="L625" s="264">
        <v>4700</v>
      </c>
      <c r="M625" s="246"/>
      <c r="N625" s="264">
        <f t="shared" si="223"/>
        <v>4700</v>
      </c>
      <c r="O625" s="246"/>
      <c r="P625" s="647" t="s">
        <v>110</v>
      </c>
      <c r="Q625" s="1136" t="s">
        <v>105</v>
      </c>
      <c r="R625" s="1003">
        <v>4700</v>
      </c>
      <c r="V625" s="203" t="s">
        <v>3436</v>
      </c>
    </row>
    <row r="626" spans="2:22" ht="45">
      <c r="B626" s="1101"/>
      <c r="C626" s="1101"/>
      <c r="D626" s="77" t="s">
        <v>3438</v>
      </c>
      <c r="E626" s="78">
        <v>41284</v>
      </c>
      <c r="F626" s="78" t="s">
        <v>5499</v>
      </c>
      <c r="G626" s="72" t="s">
        <v>5980</v>
      </c>
      <c r="H626" s="1103"/>
      <c r="I626" s="264"/>
      <c r="J626" s="264"/>
      <c r="L626" s="264">
        <v>300</v>
      </c>
      <c r="M626" s="246"/>
      <c r="N626" s="264">
        <f t="shared" si="223"/>
        <v>300</v>
      </c>
      <c r="O626" s="246"/>
      <c r="P626" s="647" t="s">
        <v>110</v>
      </c>
      <c r="Q626" s="1136" t="s">
        <v>105</v>
      </c>
      <c r="V626" s="203" t="s">
        <v>3436</v>
      </c>
    </row>
    <row r="627" spans="2:22" ht="45">
      <c r="B627" s="1101"/>
      <c r="C627" s="1101"/>
      <c r="D627" s="77" t="s">
        <v>3439</v>
      </c>
      <c r="E627" s="78">
        <v>41288</v>
      </c>
      <c r="F627" s="78" t="s">
        <v>5499</v>
      </c>
      <c r="G627" s="72" t="s">
        <v>5980</v>
      </c>
      <c r="H627" s="1103"/>
      <c r="I627" s="264"/>
      <c r="J627" s="264"/>
      <c r="L627" s="264">
        <v>20000</v>
      </c>
      <c r="M627" s="246"/>
      <c r="N627" s="264">
        <f t="shared" si="223"/>
        <v>20000</v>
      </c>
      <c r="O627" s="246"/>
      <c r="P627" s="647" t="s">
        <v>110</v>
      </c>
      <c r="Q627" s="1136" t="s">
        <v>105</v>
      </c>
      <c r="R627" s="1003">
        <v>16000</v>
      </c>
      <c r="S627" s="1003">
        <v>3000</v>
      </c>
      <c r="V627" s="203" t="s">
        <v>3436</v>
      </c>
    </row>
    <row r="628" spans="2:22" ht="45">
      <c r="B628" s="1101"/>
      <c r="C628" s="1101"/>
      <c r="D628" s="77" t="s">
        <v>3440</v>
      </c>
      <c r="E628" s="78">
        <v>41289</v>
      </c>
      <c r="F628" s="78" t="s">
        <v>5499</v>
      </c>
      <c r="G628" s="72" t="s">
        <v>5980</v>
      </c>
      <c r="H628" s="1103"/>
      <c r="I628" s="264"/>
      <c r="J628" s="264"/>
      <c r="L628" s="264">
        <v>1500</v>
      </c>
      <c r="M628" s="246"/>
      <c r="N628" s="264">
        <f t="shared" si="223"/>
        <v>1500</v>
      </c>
      <c r="O628" s="246"/>
      <c r="P628" s="647" t="s">
        <v>110</v>
      </c>
      <c r="Q628" s="1136" t="s">
        <v>105</v>
      </c>
      <c r="R628" s="1003">
        <v>1500</v>
      </c>
      <c r="V628" s="203" t="s">
        <v>3436</v>
      </c>
    </row>
    <row r="629" spans="2:22" ht="45">
      <c r="B629" s="1101"/>
      <c r="C629" s="1101"/>
      <c r="D629" s="77" t="s">
        <v>3441</v>
      </c>
      <c r="E629" s="78">
        <v>41289</v>
      </c>
      <c r="F629" s="78" t="s">
        <v>5499</v>
      </c>
      <c r="G629" s="72" t="s">
        <v>5980</v>
      </c>
      <c r="H629" s="1103"/>
      <c r="I629" s="264"/>
      <c r="J629" s="264"/>
      <c r="L629" s="264">
        <v>10000</v>
      </c>
      <c r="M629" s="246"/>
      <c r="N629" s="264">
        <f t="shared" si="223"/>
        <v>10000</v>
      </c>
      <c r="O629" s="246"/>
      <c r="P629" s="647" t="s">
        <v>110</v>
      </c>
      <c r="Q629" s="1136" t="s">
        <v>105</v>
      </c>
      <c r="R629" s="1003">
        <v>10000</v>
      </c>
      <c r="V629" s="203" t="s">
        <v>3436</v>
      </c>
    </row>
    <row r="630" spans="2:22" ht="45">
      <c r="B630" s="1101"/>
      <c r="C630" s="1101"/>
      <c r="D630" s="77" t="s">
        <v>3442</v>
      </c>
      <c r="E630" s="78">
        <v>41302</v>
      </c>
      <c r="F630" s="78" t="s">
        <v>5499</v>
      </c>
      <c r="G630" s="72" t="s">
        <v>5980</v>
      </c>
      <c r="H630" s="1103"/>
      <c r="I630" s="264"/>
      <c r="J630" s="264"/>
      <c r="L630" s="264">
        <v>4000</v>
      </c>
      <c r="M630" s="246"/>
      <c r="N630" s="264">
        <f t="shared" si="223"/>
        <v>4000</v>
      </c>
      <c r="O630" s="246"/>
      <c r="P630" s="647" t="s">
        <v>110</v>
      </c>
      <c r="Q630" s="1136" t="s">
        <v>105</v>
      </c>
      <c r="R630" s="1003">
        <v>4000</v>
      </c>
      <c r="V630" s="203" t="s">
        <v>3436</v>
      </c>
    </row>
    <row r="631" spans="2:22" ht="45">
      <c r="B631" s="1101"/>
      <c r="C631" s="1101"/>
      <c r="D631" s="77" t="s">
        <v>3443</v>
      </c>
      <c r="E631" s="78">
        <v>41305</v>
      </c>
      <c r="F631" s="78" t="s">
        <v>5499</v>
      </c>
      <c r="G631" s="72" t="s">
        <v>5980</v>
      </c>
      <c r="H631" s="1103"/>
      <c r="I631" s="264"/>
      <c r="J631" s="264"/>
      <c r="L631" s="264">
        <v>2000</v>
      </c>
      <c r="M631" s="246"/>
      <c r="N631" s="264">
        <f t="shared" si="223"/>
        <v>2000</v>
      </c>
      <c r="O631" s="246"/>
      <c r="P631" s="647" t="s">
        <v>110</v>
      </c>
      <c r="Q631" s="1136" t="s">
        <v>105</v>
      </c>
      <c r="R631" s="1003">
        <v>1737</v>
      </c>
      <c r="V631" s="203" t="s">
        <v>3436</v>
      </c>
    </row>
    <row r="632" spans="2:22" ht="45">
      <c r="B632" s="1101"/>
      <c r="C632" s="1101"/>
      <c r="D632" s="77" t="s">
        <v>3444</v>
      </c>
      <c r="E632" s="78">
        <v>41305</v>
      </c>
      <c r="F632" s="78" t="s">
        <v>5499</v>
      </c>
      <c r="G632" s="72" t="s">
        <v>5980</v>
      </c>
      <c r="H632" s="1103"/>
      <c r="I632" s="264"/>
      <c r="J632" s="264"/>
      <c r="L632" s="264">
        <v>500</v>
      </c>
      <c r="M632" s="246"/>
      <c r="N632" s="264">
        <f t="shared" si="223"/>
        <v>500</v>
      </c>
      <c r="O632" s="246"/>
      <c r="P632" s="647" t="s">
        <v>110</v>
      </c>
      <c r="Q632" s="1136" t="s">
        <v>105</v>
      </c>
      <c r="V632" s="203" t="s">
        <v>3436</v>
      </c>
    </row>
    <row r="633" spans="2:22" ht="45">
      <c r="B633" s="1101"/>
      <c r="C633" s="1101"/>
      <c r="D633" s="77" t="s">
        <v>3445</v>
      </c>
      <c r="E633" s="78">
        <v>41305</v>
      </c>
      <c r="F633" s="78" t="s">
        <v>5499</v>
      </c>
      <c r="G633" s="72" t="s">
        <v>5980</v>
      </c>
      <c r="H633" s="1103"/>
      <c r="I633" s="264"/>
      <c r="J633" s="264"/>
      <c r="L633" s="264">
        <v>1000</v>
      </c>
      <c r="M633" s="246"/>
      <c r="N633" s="264">
        <f t="shared" si="223"/>
        <v>1000</v>
      </c>
      <c r="O633" s="246"/>
      <c r="P633" s="647" t="s">
        <v>110</v>
      </c>
      <c r="Q633" s="1136" t="s">
        <v>105</v>
      </c>
      <c r="R633" s="1003">
        <v>1000</v>
      </c>
      <c r="S633" s="1003"/>
      <c r="V633" s="203" t="s">
        <v>3436</v>
      </c>
    </row>
    <row r="634" spans="2:22" ht="45">
      <c r="B634" s="1101"/>
      <c r="C634" s="1101"/>
      <c r="D634" s="77" t="s">
        <v>3446</v>
      </c>
      <c r="E634" s="78">
        <v>41306</v>
      </c>
      <c r="F634" s="78" t="s">
        <v>5499</v>
      </c>
      <c r="G634" s="72" t="s">
        <v>5980</v>
      </c>
      <c r="H634" s="1103"/>
      <c r="I634" s="264"/>
      <c r="J634" s="264"/>
      <c r="L634" s="264">
        <v>2100</v>
      </c>
      <c r="M634" s="246"/>
      <c r="N634" s="264">
        <f t="shared" si="223"/>
        <v>2100</v>
      </c>
      <c r="O634" s="246"/>
      <c r="P634" s="647" t="s">
        <v>110</v>
      </c>
      <c r="Q634" s="1136" t="s">
        <v>105</v>
      </c>
      <c r="R634" s="1003">
        <v>2100</v>
      </c>
      <c r="S634" s="1003"/>
      <c r="V634" s="203" t="s">
        <v>3436</v>
      </c>
    </row>
    <row r="635" spans="2:22" ht="45">
      <c r="B635" s="1101"/>
      <c r="C635" s="1101"/>
      <c r="D635" s="77" t="s">
        <v>3447</v>
      </c>
      <c r="E635" s="78">
        <v>41318</v>
      </c>
      <c r="F635" s="78" t="s">
        <v>5499</v>
      </c>
      <c r="G635" s="72" t="s">
        <v>5980</v>
      </c>
      <c r="H635" s="1103"/>
      <c r="I635" s="264"/>
      <c r="J635" s="264"/>
      <c r="L635" s="264">
        <f>150+2692.6</f>
        <v>2842.6</v>
      </c>
      <c r="M635" s="246"/>
      <c r="N635" s="264">
        <f t="shared" si="223"/>
        <v>2842.6</v>
      </c>
      <c r="O635" s="246"/>
      <c r="P635" s="647" t="s">
        <v>110</v>
      </c>
      <c r="Q635" s="1136" t="s">
        <v>105</v>
      </c>
      <c r="R635" s="1003">
        <v>2829</v>
      </c>
      <c r="S635" s="1003">
        <v>102</v>
      </c>
      <c r="V635" s="203" t="s">
        <v>3436</v>
      </c>
    </row>
    <row r="636" spans="2:22" ht="45">
      <c r="B636" s="1101"/>
      <c r="C636" s="1101"/>
      <c r="D636" s="77" t="s">
        <v>3448</v>
      </c>
      <c r="E636" s="78">
        <v>41332</v>
      </c>
      <c r="F636" s="78" t="s">
        <v>5499</v>
      </c>
      <c r="G636" s="72" t="s">
        <v>5980</v>
      </c>
      <c r="H636" s="1103"/>
      <c r="I636" s="264"/>
      <c r="J636" s="264"/>
      <c r="L636" s="264">
        <v>25000</v>
      </c>
      <c r="M636" s="246"/>
      <c r="N636" s="264">
        <f t="shared" si="223"/>
        <v>25000</v>
      </c>
      <c r="O636" s="246"/>
      <c r="P636" s="647" t="s">
        <v>110</v>
      </c>
      <c r="Q636" s="1136" t="s">
        <v>105</v>
      </c>
      <c r="R636" s="1003">
        <v>11351</v>
      </c>
      <c r="V636" s="203" t="s">
        <v>3436</v>
      </c>
    </row>
    <row r="637" spans="2:22" ht="45">
      <c r="B637" s="1101"/>
      <c r="C637" s="1101"/>
      <c r="D637" s="77" t="s">
        <v>3449</v>
      </c>
      <c r="E637" s="78">
        <v>41339</v>
      </c>
      <c r="F637" s="78" t="s">
        <v>5499</v>
      </c>
      <c r="G637" s="72" t="s">
        <v>5980</v>
      </c>
      <c r="H637" s="1103"/>
      <c r="I637" s="264"/>
      <c r="J637" s="264"/>
      <c r="L637" s="264">
        <v>5000</v>
      </c>
      <c r="M637" s="246"/>
      <c r="N637" s="264">
        <f t="shared" si="223"/>
        <v>5000</v>
      </c>
      <c r="O637" s="246"/>
      <c r="P637" s="647" t="s">
        <v>110</v>
      </c>
      <c r="Q637" s="1136" t="s">
        <v>105</v>
      </c>
      <c r="V637" s="203" t="s">
        <v>3436</v>
      </c>
    </row>
    <row r="638" spans="2:22" ht="45">
      <c r="B638" s="1101"/>
      <c r="C638" s="1101"/>
      <c r="D638" s="77" t="s">
        <v>3450</v>
      </c>
      <c r="E638" s="78">
        <v>41347</v>
      </c>
      <c r="F638" s="78" t="s">
        <v>5499</v>
      </c>
      <c r="G638" s="72" t="s">
        <v>5980</v>
      </c>
      <c r="H638" s="1103"/>
      <c r="I638" s="264"/>
      <c r="J638" s="264"/>
      <c r="L638" s="264">
        <v>10000</v>
      </c>
      <c r="M638" s="246"/>
      <c r="N638" s="264">
        <f t="shared" si="223"/>
        <v>10000</v>
      </c>
      <c r="O638" s="246"/>
      <c r="P638" s="647" t="s">
        <v>110</v>
      </c>
      <c r="Q638" s="1136" t="s">
        <v>105</v>
      </c>
      <c r="R638" s="1003">
        <v>10000</v>
      </c>
      <c r="V638" s="203" t="s">
        <v>3436</v>
      </c>
    </row>
    <row r="639" spans="2:22" ht="45">
      <c r="B639" s="1101"/>
      <c r="C639" s="1101"/>
      <c r="D639" s="77" t="s">
        <v>3451</v>
      </c>
      <c r="E639" s="78">
        <v>41348</v>
      </c>
      <c r="F639" s="78" t="s">
        <v>5499</v>
      </c>
      <c r="G639" s="72" t="s">
        <v>5980</v>
      </c>
      <c r="H639" s="1103"/>
      <c r="I639" s="264"/>
      <c r="J639" s="264"/>
      <c r="L639" s="264">
        <v>500</v>
      </c>
      <c r="M639" s="246"/>
      <c r="N639" s="264">
        <f t="shared" si="223"/>
        <v>500</v>
      </c>
      <c r="O639" s="246"/>
      <c r="P639" s="647" t="s">
        <v>110</v>
      </c>
      <c r="Q639" s="1136" t="s">
        <v>105</v>
      </c>
      <c r="R639" s="1003">
        <v>500</v>
      </c>
      <c r="V639" s="203" t="s">
        <v>3436</v>
      </c>
    </row>
    <row r="640" spans="2:22" ht="45">
      <c r="B640" s="1101"/>
      <c r="C640" s="1101"/>
      <c r="D640" s="77" t="s">
        <v>3452</v>
      </c>
      <c r="E640" s="78">
        <v>41348</v>
      </c>
      <c r="F640" s="78" t="s">
        <v>5499</v>
      </c>
      <c r="G640" s="72" t="s">
        <v>5980</v>
      </c>
      <c r="H640" s="1103"/>
      <c r="I640" s="264"/>
      <c r="J640" s="264"/>
      <c r="L640" s="264">
        <v>5000</v>
      </c>
      <c r="M640" s="246"/>
      <c r="N640" s="264">
        <f t="shared" si="223"/>
        <v>5000</v>
      </c>
      <c r="O640" s="246"/>
      <c r="P640" s="647" t="s">
        <v>110</v>
      </c>
      <c r="Q640" s="1136" t="s">
        <v>105</v>
      </c>
      <c r="R640" s="1003">
        <v>5000</v>
      </c>
      <c r="V640" s="203" t="s">
        <v>3436</v>
      </c>
    </row>
    <row r="641" spans="2:22" ht="45">
      <c r="B641" s="1101"/>
      <c r="C641" s="1101"/>
      <c r="D641" s="77" t="s">
        <v>3453</v>
      </c>
      <c r="E641" s="78">
        <v>41348</v>
      </c>
      <c r="F641" s="78" t="s">
        <v>5499</v>
      </c>
      <c r="G641" s="72" t="s">
        <v>5980</v>
      </c>
      <c r="H641" s="1103"/>
      <c r="I641" s="264"/>
      <c r="J641" s="264"/>
      <c r="L641" s="264">
        <v>5500</v>
      </c>
      <c r="M641" s="246"/>
      <c r="N641" s="264">
        <f t="shared" si="223"/>
        <v>5500</v>
      </c>
      <c r="O641" s="246"/>
      <c r="P641" s="647" t="s">
        <v>110</v>
      </c>
      <c r="Q641" s="1136" t="s">
        <v>105</v>
      </c>
      <c r="R641" s="1003">
        <v>5043</v>
      </c>
      <c r="V641" s="203" t="s">
        <v>3436</v>
      </c>
    </row>
    <row r="642" spans="2:22" ht="45">
      <c r="B642" s="1101"/>
      <c r="C642" s="1101"/>
      <c r="D642" s="77" t="s">
        <v>3454</v>
      </c>
      <c r="E642" s="78">
        <v>41355</v>
      </c>
      <c r="F642" s="78" t="s">
        <v>5499</v>
      </c>
      <c r="G642" s="72" t="s">
        <v>5980</v>
      </c>
      <c r="H642" s="1103"/>
      <c r="I642" s="264"/>
      <c r="J642" s="264"/>
      <c r="L642" s="264">
        <v>9000</v>
      </c>
      <c r="M642" s="246"/>
      <c r="N642" s="264">
        <f t="shared" si="223"/>
        <v>9000</v>
      </c>
      <c r="O642" s="246"/>
      <c r="P642" s="647" t="s">
        <v>110</v>
      </c>
      <c r="Q642" s="1136" t="s">
        <v>105</v>
      </c>
      <c r="V642" s="203" t="s">
        <v>3436</v>
      </c>
    </row>
    <row r="643" spans="2:22" ht="45">
      <c r="B643" s="1101"/>
      <c r="C643" s="1101"/>
      <c r="D643" s="77" t="s">
        <v>3455</v>
      </c>
      <c r="E643" s="78">
        <v>41417</v>
      </c>
      <c r="F643" s="78" t="s">
        <v>5499</v>
      </c>
      <c r="G643" s="72" t="s">
        <v>5980</v>
      </c>
      <c r="H643" s="1103"/>
      <c r="I643" s="264"/>
      <c r="J643" s="264"/>
      <c r="L643" s="264">
        <v>780</v>
      </c>
      <c r="M643" s="246"/>
      <c r="N643" s="264">
        <f t="shared" si="223"/>
        <v>780</v>
      </c>
      <c r="O643" s="246"/>
      <c r="P643" s="647" t="s">
        <v>110</v>
      </c>
      <c r="Q643" s="1136" t="s">
        <v>105</v>
      </c>
      <c r="R643" s="1004">
        <v>780</v>
      </c>
      <c r="V643" s="203" t="s">
        <v>3436</v>
      </c>
    </row>
    <row r="644" spans="2:22" ht="45">
      <c r="B644" s="1101"/>
      <c r="C644" s="1101"/>
      <c r="D644" s="77" t="s">
        <v>3456</v>
      </c>
      <c r="E644" s="78">
        <v>41464</v>
      </c>
      <c r="F644" s="78" t="s">
        <v>5499</v>
      </c>
      <c r="G644" s="72" t="s">
        <v>5980</v>
      </c>
      <c r="H644" s="1103"/>
      <c r="I644" s="264"/>
      <c r="J644" s="264"/>
      <c r="L644" s="264">
        <v>-10000</v>
      </c>
      <c r="M644" s="246"/>
      <c r="N644" s="264">
        <f t="shared" si="223"/>
        <v>-10000</v>
      </c>
      <c r="O644" s="246"/>
      <c r="P644" s="647" t="s">
        <v>110</v>
      </c>
      <c r="Q644" s="1136" t="s">
        <v>105</v>
      </c>
      <c r="V644" s="203"/>
    </row>
    <row r="646" spans="2:22">
      <c r="B646" s="1197" t="s">
        <v>3457</v>
      </c>
      <c r="C646" s="1197"/>
      <c r="K646" s="1204"/>
      <c r="L646" s="1008">
        <f>L647</f>
        <v>300</v>
      </c>
      <c r="M646" s="1204"/>
      <c r="N646" s="1008">
        <f>N647</f>
        <v>300</v>
      </c>
      <c r="R646" s="1008">
        <f t="shared" ref="R646:S646" si="224">R647</f>
        <v>0</v>
      </c>
      <c r="S646" s="1008">
        <f t="shared" si="224"/>
        <v>0</v>
      </c>
    </row>
    <row r="647" spans="2:22" ht="30">
      <c r="B647" s="435" t="s">
        <v>3458</v>
      </c>
      <c r="C647" s="435"/>
      <c r="D647" s="77" t="s">
        <v>3459</v>
      </c>
      <c r="E647" s="78">
        <v>41305</v>
      </c>
      <c r="F647" s="78" t="s">
        <v>5783</v>
      </c>
      <c r="G647" s="98" t="s">
        <v>5981</v>
      </c>
      <c r="H647" s="185"/>
      <c r="I647" s="264">
        <v>26323</v>
      </c>
      <c r="L647" s="264">
        <v>300</v>
      </c>
      <c r="M647" s="246"/>
      <c r="N647" s="264">
        <f>SUM(K647:M647)</f>
        <v>300</v>
      </c>
      <c r="O647" s="264">
        <f>N647+J647</f>
        <v>300</v>
      </c>
      <c r="P647" s="647" t="s">
        <v>110</v>
      </c>
      <c r="Q647" s="1136" t="s">
        <v>134</v>
      </c>
      <c r="V647" s="118" t="s">
        <v>3460</v>
      </c>
    </row>
    <row r="649" spans="2:22">
      <c r="B649" s="1197" t="s">
        <v>620</v>
      </c>
      <c r="C649" s="1197"/>
      <c r="K649" s="1199"/>
      <c r="L649" s="479">
        <f>L650+L673+L676</f>
        <v>140687.905</v>
      </c>
      <c r="M649" s="1199"/>
      <c r="N649" s="479">
        <f>N650+N673+N676</f>
        <v>140687.905</v>
      </c>
      <c r="R649" s="479">
        <f t="shared" ref="R649:S649" si="225">R650+R673+R676</f>
        <v>0</v>
      </c>
      <c r="S649" s="479">
        <f t="shared" si="225"/>
        <v>0</v>
      </c>
    </row>
    <row r="650" spans="2:22">
      <c r="B650" s="1206" t="s">
        <v>142</v>
      </c>
      <c r="C650" s="1206"/>
      <c r="K650" s="1204"/>
      <c r="L650" s="479">
        <f>SUM(L651:L671)</f>
        <v>100750</v>
      </c>
      <c r="M650" s="1204"/>
      <c r="N650" s="479">
        <f>SUM(N651:N671)</f>
        <v>100750</v>
      </c>
      <c r="R650" s="479">
        <f t="shared" ref="R650:S650" si="226">SUM(R651:R671)</f>
        <v>0</v>
      </c>
      <c r="S650" s="479">
        <f t="shared" si="226"/>
        <v>0</v>
      </c>
    </row>
    <row r="651" spans="2:22" ht="30">
      <c r="B651" s="33" t="s">
        <v>22</v>
      </c>
      <c r="C651" s="33"/>
      <c r="D651" s="1137" t="s">
        <v>3461</v>
      </c>
      <c r="E651" s="13">
        <v>41121</v>
      </c>
      <c r="F651" s="26" t="s">
        <v>5982</v>
      </c>
      <c r="G651" s="1129" t="s">
        <v>5983</v>
      </c>
      <c r="H651" s="1129"/>
      <c r="I651" s="274"/>
      <c r="J651" s="642"/>
      <c r="L651" s="85">
        <v>3250</v>
      </c>
      <c r="M651" s="274"/>
      <c r="N651" s="85">
        <f t="shared" ref="N651:N671" si="227">SUM(K651:M651)</f>
        <v>3250</v>
      </c>
      <c r="P651" s="647" t="s">
        <v>110</v>
      </c>
      <c r="Q651" s="1136" t="s">
        <v>105</v>
      </c>
      <c r="V651" s="15" t="s">
        <v>291</v>
      </c>
    </row>
    <row r="652" spans="2:22" ht="30">
      <c r="B652" s="33" t="s">
        <v>22</v>
      </c>
      <c r="C652" s="33"/>
      <c r="D652" s="1137" t="s">
        <v>3462</v>
      </c>
      <c r="E652" s="13">
        <v>41145</v>
      </c>
      <c r="F652" s="26" t="s">
        <v>5982</v>
      </c>
      <c r="G652" s="1129" t="s">
        <v>5983</v>
      </c>
      <c r="H652" s="1129"/>
      <c r="I652" s="274"/>
      <c r="J652" s="642"/>
      <c r="L652" s="15">
        <v>2000</v>
      </c>
      <c r="M652" s="274"/>
      <c r="N652" s="15">
        <f t="shared" si="227"/>
        <v>2000</v>
      </c>
      <c r="P652" s="647" t="s">
        <v>110</v>
      </c>
      <c r="Q652" s="1136" t="s">
        <v>105</v>
      </c>
      <c r="V652" s="15" t="s">
        <v>291</v>
      </c>
    </row>
    <row r="653" spans="2:22" ht="30">
      <c r="B653" s="33" t="s">
        <v>22</v>
      </c>
      <c r="C653" s="33"/>
      <c r="D653" s="1137" t="s">
        <v>3463</v>
      </c>
      <c r="E653" s="13">
        <v>41221</v>
      </c>
      <c r="F653" s="26" t="s">
        <v>5982</v>
      </c>
      <c r="G653" s="1129" t="s">
        <v>5983</v>
      </c>
      <c r="H653" s="1129"/>
      <c r="I653" s="274"/>
      <c r="J653" s="642"/>
      <c r="L653" s="15">
        <v>3000</v>
      </c>
      <c r="M653" s="274"/>
      <c r="N653" s="15">
        <f t="shared" si="227"/>
        <v>3000</v>
      </c>
      <c r="P653" s="647" t="s">
        <v>110</v>
      </c>
      <c r="Q653" s="1136" t="s">
        <v>105</v>
      </c>
      <c r="V653" s="15" t="s">
        <v>291</v>
      </c>
    </row>
    <row r="654" spans="2:22" ht="30">
      <c r="B654" s="33" t="s">
        <v>22</v>
      </c>
      <c r="C654" s="33"/>
      <c r="D654" s="1137" t="s">
        <v>3464</v>
      </c>
      <c r="E654" s="13">
        <v>41236</v>
      </c>
      <c r="F654" s="26" t="s">
        <v>5982</v>
      </c>
      <c r="G654" s="1129" t="s">
        <v>5983</v>
      </c>
      <c r="H654" s="1129"/>
      <c r="I654" s="274"/>
      <c r="J654" s="642"/>
      <c r="L654" s="15">
        <v>5000</v>
      </c>
      <c r="M654" s="274"/>
      <c r="N654" s="15">
        <f t="shared" si="227"/>
        <v>5000</v>
      </c>
      <c r="P654" s="647" t="s">
        <v>110</v>
      </c>
      <c r="Q654" s="1136" t="s">
        <v>105</v>
      </c>
      <c r="V654" s="15" t="s">
        <v>291</v>
      </c>
    </row>
    <row r="655" spans="2:22" ht="30">
      <c r="B655" s="33" t="s">
        <v>22</v>
      </c>
      <c r="C655" s="33"/>
      <c r="D655" s="1137" t="s">
        <v>3465</v>
      </c>
      <c r="E655" s="13">
        <v>41250</v>
      </c>
      <c r="F655" s="26" t="s">
        <v>5982</v>
      </c>
      <c r="G655" s="1129" t="s">
        <v>5983</v>
      </c>
      <c r="H655" s="1129"/>
      <c r="I655" s="274"/>
      <c r="J655" s="642"/>
      <c r="L655" s="15">
        <v>2000</v>
      </c>
      <c r="M655" s="274"/>
      <c r="N655" s="15">
        <f t="shared" si="227"/>
        <v>2000</v>
      </c>
      <c r="P655" s="647" t="s">
        <v>110</v>
      </c>
      <c r="Q655" s="1136" t="s">
        <v>105</v>
      </c>
      <c r="V655" s="15" t="s">
        <v>291</v>
      </c>
    </row>
    <row r="656" spans="2:22" ht="30">
      <c r="B656" s="33" t="s">
        <v>22</v>
      </c>
      <c r="C656" s="33"/>
      <c r="D656" s="1137" t="s">
        <v>3466</v>
      </c>
      <c r="E656" s="13">
        <v>41250</v>
      </c>
      <c r="F656" s="26" t="s">
        <v>5982</v>
      </c>
      <c r="G656" s="1129" t="s">
        <v>5983</v>
      </c>
      <c r="H656" s="1129"/>
      <c r="I656" s="274"/>
      <c r="J656" s="642"/>
      <c r="L656" s="15">
        <v>5000</v>
      </c>
      <c r="M656" s="274"/>
      <c r="N656" s="15">
        <f t="shared" si="227"/>
        <v>5000</v>
      </c>
      <c r="P656" s="647" t="s">
        <v>110</v>
      </c>
      <c r="Q656" s="1136" t="s">
        <v>105</v>
      </c>
      <c r="V656" s="15" t="s">
        <v>291</v>
      </c>
    </row>
    <row r="657" spans="2:22" ht="30">
      <c r="B657" s="33" t="s">
        <v>22</v>
      </c>
      <c r="C657" s="33"/>
      <c r="D657" s="1137" t="s">
        <v>3467</v>
      </c>
      <c r="E657" s="13">
        <v>41250</v>
      </c>
      <c r="F657" s="26" t="s">
        <v>5982</v>
      </c>
      <c r="G657" s="1129" t="s">
        <v>5983</v>
      </c>
      <c r="H657" s="1129"/>
      <c r="I657" s="274"/>
      <c r="J657" s="642"/>
      <c r="L657" s="15">
        <v>5000</v>
      </c>
      <c r="M657" s="274"/>
      <c r="N657" s="15">
        <f t="shared" si="227"/>
        <v>5000</v>
      </c>
      <c r="P657" s="647" t="s">
        <v>110</v>
      </c>
      <c r="Q657" s="1136" t="s">
        <v>105</v>
      </c>
      <c r="V657" s="15" t="s">
        <v>291</v>
      </c>
    </row>
    <row r="658" spans="2:22" ht="30">
      <c r="B658" s="33" t="s">
        <v>22</v>
      </c>
      <c r="C658" s="33"/>
      <c r="D658" s="1137" t="s">
        <v>3468</v>
      </c>
      <c r="E658" s="13">
        <v>41250</v>
      </c>
      <c r="F658" s="26" t="s">
        <v>5982</v>
      </c>
      <c r="G658" s="1129" t="s">
        <v>5983</v>
      </c>
      <c r="H658" s="1129"/>
      <c r="I658" s="274"/>
      <c r="J658" s="642"/>
      <c r="L658" s="15">
        <v>2500</v>
      </c>
      <c r="M658" s="274"/>
      <c r="N658" s="15">
        <f t="shared" si="227"/>
        <v>2500</v>
      </c>
      <c r="P658" s="647" t="s">
        <v>110</v>
      </c>
      <c r="Q658" s="1136" t="s">
        <v>105</v>
      </c>
      <c r="V658" s="15" t="s">
        <v>291</v>
      </c>
    </row>
    <row r="659" spans="2:22" ht="30">
      <c r="B659" s="33" t="s">
        <v>22</v>
      </c>
      <c r="C659" s="33"/>
      <c r="D659" s="1137" t="s">
        <v>3469</v>
      </c>
      <c r="E659" s="13">
        <v>41263</v>
      </c>
      <c r="F659" s="26" t="s">
        <v>5982</v>
      </c>
      <c r="G659" s="1129" t="s">
        <v>5983</v>
      </c>
      <c r="H659" s="1129"/>
      <c r="I659" s="274"/>
      <c r="J659" s="642"/>
      <c r="L659" s="15">
        <v>5000</v>
      </c>
      <c r="M659" s="274"/>
      <c r="N659" s="15">
        <f t="shared" si="227"/>
        <v>5000</v>
      </c>
      <c r="P659" s="647" t="s">
        <v>110</v>
      </c>
      <c r="Q659" s="1136" t="s">
        <v>105</v>
      </c>
      <c r="V659" s="15" t="s">
        <v>291</v>
      </c>
    </row>
    <row r="660" spans="2:22" ht="30">
      <c r="B660" s="33" t="s">
        <v>22</v>
      </c>
      <c r="C660" s="33"/>
      <c r="D660" s="1137" t="s">
        <v>3470</v>
      </c>
      <c r="E660" s="13">
        <v>41270</v>
      </c>
      <c r="F660" s="26" t="s">
        <v>5982</v>
      </c>
      <c r="G660" s="1129" t="s">
        <v>5983</v>
      </c>
      <c r="H660" s="1129"/>
      <c r="I660" s="274"/>
      <c r="J660" s="642"/>
      <c r="L660" s="15">
        <v>5000</v>
      </c>
      <c r="M660" s="274"/>
      <c r="N660" s="15">
        <f t="shared" si="227"/>
        <v>5000</v>
      </c>
      <c r="P660" s="647" t="s">
        <v>110</v>
      </c>
      <c r="Q660" s="1136" t="s">
        <v>105</v>
      </c>
      <c r="V660" s="15" t="s">
        <v>291</v>
      </c>
    </row>
    <row r="661" spans="2:22" ht="45">
      <c r="B661" s="33" t="s">
        <v>22</v>
      </c>
      <c r="C661" s="33"/>
      <c r="D661" s="1137" t="s">
        <v>3471</v>
      </c>
      <c r="E661" s="13">
        <v>41288</v>
      </c>
      <c r="F661" s="26" t="s">
        <v>5640</v>
      </c>
      <c r="G661" s="1129" t="s">
        <v>5984</v>
      </c>
      <c r="H661" s="1129"/>
      <c r="I661" s="274"/>
      <c r="J661" s="642"/>
      <c r="L661" s="15">
        <v>5500</v>
      </c>
      <c r="M661" s="274"/>
      <c r="N661" s="15">
        <f t="shared" si="227"/>
        <v>5500</v>
      </c>
      <c r="P661" s="647" t="s">
        <v>110</v>
      </c>
      <c r="Q661" s="1136" t="s">
        <v>105</v>
      </c>
      <c r="V661" s="15" t="s">
        <v>291</v>
      </c>
    </row>
    <row r="662" spans="2:22" ht="45">
      <c r="B662" s="33" t="s">
        <v>22</v>
      </c>
      <c r="C662" s="33"/>
      <c r="D662" s="1138" t="s">
        <v>3472</v>
      </c>
      <c r="E662" s="13">
        <v>41305</v>
      </c>
      <c r="F662" s="26" t="s">
        <v>5640</v>
      </c>
      <c r="G662" s="1129" t="s">
        <v>5984</v>
      </c>
      <c r="H662" s="1129"/>
      <c r="I662" s="274"/>
      <c r="J662" s="642"/>
      <c r="L662" s="15">
        <v>11000</v>
      </c>
      <c r="M662" s="274"/>
      <c r="N662" s="15">
        <f t="shared" si="227"/>
        <v>11000</v>
      </c>
      <c r="P662" s="647" t="s">
        <v>110</v>
      </c>
      <c r="Q662" s="1136" t="s">
        <v>105</v>
      </c>
      <c r="V662" s="15" t="s">
        <v>291</v>
      </c>
    </row>
    <row r="663" spans="2:22" ht="45">
      <c r="B663" s="33" t="s">
        <v>22</v>
      </c>
      <c r="C663" s="33"/>
      <c r="D663" s="1137" t="s">
        <v>3473</v>
      </c>
      <c r="E663" s="13">
        <v>41332</v>
      </c>
      <c r="F663" s="26" t="s">
        <v>5640</v>
      </c>
      <c r="G663" s="1129" t="s">
        <v>5984</v>
      </c>
      <c r="H663" s="1129"/>
      <c r="I663" s="274"/>
      <c r="J663" s="642"/>
      <c r="L663" s="15">
        <v>10000</v>
      </c>
      <c r="M663" s="274"/>
      <c r="N663" s="15">
        <f t="shared" si="227"/>
        <v>10000</v>
      </c>
      <c r="P663" s="647" t="s">
        <v>110</v>
      </c>
      <c r="Q663" s="1136" t="s">
        <v>105</v>
      </c>
      <c r="V663" s="15" t="s">
        <v>291</v>
      </c>
    </row>
    <row r="664" spans="2:22" ht="45">
      <c r="B664" s="33" t="s">
        <v>22</v>
      </c>
      <c r="C664" s="33"/>
      <c r="D664" s="1137" t="s">
        <v>3474</v>
      </c>
      <c r="E664" s="13">
        <v>41339</v>
      </c>
      <c r="F664" s="26" t="s">
        <v>5640</v>
      </c>
      <c r="G664" s="1129" t="s">
        <v>5984</v>
      </c>
      <c r="H664" s="1129"/>
      <c r="I664" s="274"/>
      <c r="J664" s="642"/>
      <c r="L664" s="15">
        <v>1000</v>
      </c>
      <c r="M664" s="274"/>
      <c r="N664" s="15">
        <f t="shared" si="227"/>
        <v>1000</v>
      </c>
      <c r="P664" s="647" t="s">
        <v>110</v>
      </c>
      <c r="Q664" s="1136" t="s">
        <v>105</v>
      </c>
      <c r="V664" s="15" t="s">
        <v>291</v>
      </c>
    </row>
    <row r="665" spans="2:22" ht="45">
      <c r="B665" s="33" t="s">
        <v>22</v>
      </c>
      <c r="C665" s="33"/>
      <c r="D665" s="1137" t="s">
        <v>3475</v>
      </c>
      <c r="E665" s="13">
        <v>41347</v>
      </c>
      <c r="F665" s="26" t="s">
        <v>5640</v>
      </c>
      <c r="G665" s="1129" t="s">
        <v>5984</v>
      </c>
      <c r="H665" s="1129"/>
      <c r="I665" s="274"/>
      <c r="J665" s="642"/>
      <c r="L665" s="15">
        <v>5000</v>
      </c>
      <c r="M665" s="274"/>
      <c r="N665" s="15">
        <f t="shared" si="227"/>
        <v>5000</v>
      </c>
      <c r="P665" s="647" t="s">
        <v>110</v>
      </c>
      <c r="Q665" s="1136" t="s">
        <v>105</v>
      </c>
      <c r="V665" s="15" t="s">
        <v>291</v>
      </c>
    </row>
    <row r="666" spans="2:22" ht="45">
      <c r="B666" s="33" t="s">
        <v>22</v>
      </c>
      <c r="C666" s="33"/>
      <c r="D666" s="1137" t="s">
        <v>3476</v>
      </c>
      <c r="E666" s="13">
        <v>41347</v>
      </c>
      <c r="F666" s="26" t="s">
        <v>5640</v>
      </c>
      <c r="G666" s="1129" t="s">
        <v>5984</v>
      </c>
      <c r="H666" s="1129"/>
      <c r="I666" s="274"/>
      <c r="J666" s="642"/>
      <c r="L666" s="15">
        <v>20000</v>
      </c>
      <c r="M666" s="274"/>
      <c r="N666" s="15">
        <f t="shared" si="227"/>
        <v>20000</v>
      </c>
      <c r="P666" s="647" t="s">
        <v>110</v>
      </c>
      <c r="Q666" s="1136" t="s">
        <v>105</v>
      </c>
      <c r="V666" s="15" t="s">
        <v>291</v>
      </c>
    </row>
    <row r="667" spans="2:22" ht="45">
      <c r="B667" s="33" t="s">
        <v>22</v>
      </c>
      <c r="C667" s="33"/>
      <c r="D667" s="1137" t="s">
        <v>3477</v>
      </c>
      <c r="E667" s="13">
        <v>41348</v>
      </c>
      <c r="F667" s="26" t="s">
        <v>5640</v>
      </c>
      <c r="G667" s="1129" t="s">
        <v>5984</v>
      </c>
      <c r="H667" s="1129"/>
      <c r="I667" s="274"/>
      <c r="J667" s="642"/>
      <c r="L667" s="15">
        <v>2500</v>
      </c>
      <c r="M667" s="274"/>
      <c r="N667" s="15">
        <f t="shared" si="227"/>
        <v>2500</v>
      </c>
      <c r="P667" s="647" t="s">
        <v>110</v>
      </c>
      <c r="Q667" s="1136" t="s">
        <v>105</v>
      </c>
      <c r="V667" s="15" t="s">
        <v>291</v>
      </c>
    </row>
    <row r="668" spans="2:22" ht="45">
      <c r="B668" s="33" t="s">
        <v>22</v>
      </c>
      <c r="C668" s="33"/>
      <c r="D668" s="1137" t="s">
        <v>3478</v>
      </c>
      <c r="E668" s="13">
        <v>41354</v>
      </c>
      <c r="F668" s="26" t="s">
        <v>5640</v>
      </c>
      <c r="G668" s="1129" t="s">
        <v>5984</v>
      </c>
      <c r="H668" s="1129"/>
      <c r="I668" s="274"/>
      <c r="J668" s="642"/>
      <c r="L668" s="15">
        <v>7500</v>
      </c>
      <c r="M668" s="274"/>
      <c r="N668" s="15">
        <f t="shared" si="227"/>
        <v>7500</v>
      </c>
      <c r="P668" s="647" t="s">
        <v>110</v>
      </c>
      <c r="Q668" s="1136" t="s">
        <v>105</v>
      </c>
      <c r="V668" s="15" t="s">
        <v>291</v>
      </c>
    </row>
    <row r="669" spans="2:22" ht="45">
      <c r="B669" s="33" t="s">
        <v>22</v>
      </c>
      <c r="C669" s="33"/>
      <c r="D669" s="1137" t="s">
        <v>3479</v>
      </c>
      <c r="E669" s="13">
        <v>41358</v>
      </c>
      <c r="F669" s="26" t="s">
        <v>5640</v>
      </c>
      <c r="G669" s="1129" t="s">
        <v>5984</v>
      </c>
      <c r="H669" s="1129"/>
      <c r="I669" s="274"/>
      <c r="J669" s="642"/>
      <c r="L669" s="15">
        <v>500</v>
      </c>
      <c r="M669" s="274"/>
      <c r="N669" s="15">
        <f t="shared" si="227"/>
        <v>500</v>
      </c>
      <c r="P669" s="647" t="s">
        <v>110</v>
      </c>
      <c r="Q669" s="1136" t="s">
        <v>105</v>
      </c>
      <c r="V669" s="15" t="s">
        <v>291</v>
      </c>
    </row>
    <row r="670" spans="2:22" ht="45">
      <c r="B670" s="33" t="s">
        <v>3480</v>
      </c>
      <c r="C670" s="33"/>
      <c r="D670" s="1137" t="s">
        <v>3481</v>
      </c>
      <c r="E670" s="13">
        <v>41358</v>
      </c>
      <c r="F670" s="26" t="s">
        <v>5640</v>
      </c>
      <c r="G670" s="1129" t="s">
        <v>5984</v>
      </c>
      <c r="I670" s="274"/>
      <c r="J670" s="642"/>
      <c r="L670" s="15">
        <v>-2500</v>
      </c>
      <c r="M670" s="274"/>
      <c r="N670" s="15">
        <f t="shared" si="227"/>
        <v>-2500</v>
      </c>
      <c r="P670" s="647" t="s">
        <v>110</v>
      </c>
      <c r="Q670" s="1136" t="s">
        <v>105</v>
      </c>
      <c r="V670" s="15" t="s">
        <v>291</v>
      </c>
    </row>
    <row r="671" spans="2:22" ht="45">
      <c r="B671" s="33" t="s">
        <v>22</v>
      </c>
      <c r="C671" s="33"/>
      <c r="D671" s="1137" t="s">
        <v>3482</v>
      </c>
      <c r="E671" s="13">
        <v>41358</v>
      </c>
      <c r="F671" s="26" t="s">
        <v>5640</v>
      </c>
      <c r="G671" s="1129" t="s">
        <v>5984</v>
      </c>
      <c r="I671" s="274"/>
      <c r="J671" s="642"/>
      <c r="L671" s="15">
        <v>2500</v>
      </c>
      <c r="M671" s="274"/>
      <c r="N671" s="15">
        <f t="shared" si="227"/>
        <v>2500</v>
      </c>
      <c r="P671" s="647" t="s">
        <v>110</v>
      </c>
      <c r="Q671" s="1136" t="s">
        <v>105</v>
      </c>
      <c r="V671" s="15" t="s">
        <v>291</v>
      </c>
    </row>
    <row r="673" spans="2:22">
      <c r="B673" s="1206" t="s">
        <v>296</v>
      </c>
      <c r="C673" s="1206"/>
      <c r="K673" s="1199"/>
      <c r="L673" s="479">
        <f>SUM(L674)</f>
        <v>3937.9050000000002</v>
      </c>
      <c r="M673" s="1199"/>
      <c r="N673" s="479">
        <f>SUM(N674)</f>
        <v>3937.9050000000002</v>
      </c>
      <c r="R673" s="479">
        <f t="shared" ref="R673:S673" si="228">SUM(R674)</f>
        <v>0</v>
      </c>
      <c r="S673" s="479">
        <f t="shared" si="228"/>
        <v>0</v>
      </c>
    </row>
    <row r="674" spans="2:22" ht="30">
      <c r="B674" s="277" t="s">
        <v>22</v>
      </c>
      <c r="C674" s="277"/>
      <c r="D674" s="1137" t="s">
        <v>3483</v>
      </c>
      <c r="E674" s="13">
        <v>41264</v>
      </c>
      <c r="F674" s="26" t="s">
        <v>5982</v>
      </c>
      <c r="G674" s="83" t="s">
        <v>5985</v>
      </c>
      <c r="H674" s="83"/>
      <c r="I674" s="1136">
        <v>124621</v>
      </c>
      <c r="J674" s="643"/>
      <c r="L674" s="15">
        <v>3937.9050000000002</v>
      </c>
      <c r="M674" s="117"/>
      <c r="N674" s="1136">
        <f>SUM(K674:M674)</f>
        <v>3937.9050000000002</v>
      </c>
      <c r="O674" s="1179">
        <f>I674+N674</f>
        <v>128558.905</v>
      </c>
      <c r="P674" s="647" t="s">
        <v>110</v>
      </c>
      <c r="Q674" s="1136" t="s">
        <v>105</v>
      </c>
      <c r="V674" s="15" t="s">
        <v>298</v>
      </c>
    </row>
    <row r="676" spans="2:22">
      <c r="B676" s="1206" t="s">
        <v>3484</v>
      </c>
      <c r="C676" s="1206"/>
      <c r="K676" s="1204"/>
      <c r="L676" s="479">
        <f>L677+L678</f>
        <v>36000</v>
      </c>
      <c r="M676" s="1204"/>
      <c r="N676" s="479">
        <f>N677+N678</f>
        <v>36000</v>
      </c>
      <c r="R676" s="479">
        <f t="shared" ref="R676:S676" si="229">R677+R678</f>
        <v>0</v>
      </c>
      <c r="S676" s="479">
        <f t="shared" si="229"/>
        <v>0</v>
      </c>
    </row>
    <row r="677" spans="2:22" ht="45">
      <c r="B677" s="33" t="s">
        <v>3485</v>
      </c>
      <c r="C677" s="33"/>
      <c r="D677" s="1137" t="s">
        <v>3486</v>
      </c>
      <c r="E677" s="13">
        <v>41149</v>
      </c>
      <c r="F677" s="26" t="s">
        <v>5987</v>
      </c>
      <c r="G677" s="83" t="s">
        <v>5986</v>
      </c>
      <c r="H677" s="83"/>
      <c r="I677" s="1136">
        <v>233769</v>
      </c>
      <c r="J677" s="643"/>
      <c r="L677" s="278">
        <v>25000</v>
      </c>
      <c r="M677" s="117"/>
      <c r="N677" s="117">
        <f>SUM(K677:M677)</f>
        <v>25000</v>
      </c>
      <c r="O677" s="1136">
        <f>N677+I677</f>
        <v>258769</v>
      </c>
      <c r="P677" s="647" t="s">
        <v>110</v>
      </c>
      <c r="Q677" s="1136" t="s">
        <v>105</v>
      </c>
      <c r="R677" s="644"/>
      <c r="S677" s="644"/>
      <c r="T677" s="958"/>
      <c r="U677" s="8"/>
      <c r="V677" s="15" t="s">
        <v>3487</v>
      </c>
    </row>
    <row r="678" spans="2:22">
      <c r="B678" s="33"/>
      <c r="C678" s="33"/>
      <c r="D678" s="1137"/>
      <c r="E678" s="13"/>
      <c r="F678" s="13"/>
      <c r="G678" s="83"/>
      <c r="H678" s="83"/>
      <c r="I678" s="1136">
        <v>9352</v>
      </c>
      <c r="J678" s="643"/>
      <c r="K678" s="1204"/>
      <c r="L678" s="200">
        <f>L679+L680</f>
        <v>11000</v>
      </c>
      <c r="M678" s="200"/>
      <c r="N678" s="200">
        <f t="shared" ref="N678" si="230">N679+N680</f>
        <v>11000</v>
      </c>
      <c r="O678" s="1136">
        <f>N678+I678</f>
        <v>20352</v>
      </c>
      <c r="P678" s="1140"/>
      <c r="Q678" s="1136"/>
      <c r="R678" s="7">
        <f t="shared" ref="R678:S678" si="231">R679+R680</f>
        <v>0</v>
      </c>
      <c r="S678" s="7">
        <f t="shared" si="231"/>
        <v>0</v>
      </c>
      <c r="T678" s="958"/>
      <c r="U678" s="8"/>
      <c r="V678" s="15"/>
    </row>
    <row r="679" spans="2:22" ht="30">
      <c r="B679" s="33" t="s">
        <v>3485</v>
      </c>
      <c r="C679" s="33"/>
      <c r="D679" s="1137" t="s">
        <v>3488</v>
      </c>
      <c r="E679" s="13">
        <v>41206</v>
      </c>
      <c r="F679" s="26" t="s">
        <v>5732</v>
      </c>
      <c r="G679" s="83" t="s">
        <v>5988</v>
      </c>
      <c r="H679" s="83"/>
      <c r="I679" s="268"/>
      <c r="J679" s="633"/>
      <c r="L679" s="15">
        <v>5000</v>
      </c>
      <c r="M679" s="117"/>
      <c r="N679" s="1136">
        <f>SUM(K679:M679)</f>
        <v>5000</v>
      </c>
      <c r="O679" s="1136"/>
      <c r="P679" s="647" t="s">
        <v>110</v>
      </c>
      <c r="Q679" s="1136" t="s">
        <v>105</v>
      </c>
      <c r="R679" s="644"/>
      <c r="S679" s="644"/>
      <c r="T679" s="958"/>
      <c r="U679" s="8"/>
      <c r="V679" s="15" t="s">
        <v>3487</v>
      </c>
    </row>
    <row r="680" spans="2:22" ht="30">
      <c r="B680" s="33" t="s">
        <v>3489</v>
      </c>
      <c r="C680" s="33"/>
      <c r="D680" s="1137" t="s">
        <v>3490</v>
      </c>
      <c r="E680" s="13">
        <v>41318</v>
      </c>
      <c r="F680" s="26" t="s">
        <v>5732</v>
      </c>
      <c r="G680" s="83" t="s">
        <v>5988</v>
      </c>
      <c r="H680" s="471"/>
      <c r="I680" s="405"/>
      <c r="J680" s="645"/>
      <c r="L680" s="15">
        <v>6000</v>
      </c>
      <c r="M680" s="117"/>
      <c r="N680" s="1136">
        <f>SUM(K680:M680)</f>
        <v>6000</v>
      </c>
      <c r="O680" s="117"/>
      <c r="P680" s="647" t="s">
        <v>110</v>
      </c>
      <c r="Q680" s="1136" t="s">
        <v>105</v>
      </c>
      <c r="R680" s="644"/>
      <c r="S680" s="644"/>
      <c r="T680" s="958"/>
      <c r="U680" s="8"/>
      <c r="V680" s="15" t="s">
        <v>3487</v>
      </c>
    </row>
    <row r="682" spans="2:22">
      <c r="B682" s="1206" t="s">
        <v>3491</v>
      </c>
      <c r="C682" s="1206"/>
      <c r="K682" s="1204"/>
      <c r="L682" s="479">
        <f>L683+L1157+L1601</f>
        <v>2934714.4359999998</v>
      </c>
      <c r="M682" s="1204"/>
      <c r="N682" s="479">
        <f>N683+N1157+N1601</f>
        <v>2934714.4359999998</v>
      </c>
      <c r="R682" s="479">
        <f>R683+R1157+R1601</f>
        <v>3099711.8289999999</v>
      </c>
      <c r="S682" s="479">
        <f>S683+S1157+S1601</f>
        <v>3086387.2450000001</v>
      </c>
    </row>
    <row r="683" spans="2:22">
      <c r="B683" s="1206"/>
      <c r="C683" s="1206"/>
      <c r="K683" s="1204"/>
      <c r="L683" s="479">
        <f>SUM(L684:L1155)</f>
        <v>1830917.69</v>
      </c>
      <c r="M683" s="1204"/>
      <c r="N683" s="479">
        <f>SUM(N684:N1155)</f>
        <v>1830917.69</v>
      </c>
      <c r="R683" s="479">
        <f t="shared" ref="R683:S683" si="232">SUM(R684:R1155)</f>
        <v>1931951.0829999999</v>
      </c>
      <c r="S683" s="479">
        <f t="shared" si="232"/>
        <v>1918965.4989999998</v>
      </c>
    </row>
    <row r="684" spans="2:22" ht="30">
      <c r="B684" s="646" t="s">
        <v>3492</v>
      </c>
      <c r="C684" s="646"/>
      <c r="D684" s="647" t="s">
        <v>3494</v>
      </c>
      <c r="E684" s="527">
        <v>41121</v>
      </c>
      <c r="F684" s="527"/>
      <c r="G684" s="525" t="s">
        <v>3493</v>
      </c>
      <c r="H684" s="525"/>
      <c r="I684" s="31"/>
      <c r="J684" s="1233"/>
      <c r="K684" s="31"/>
      <c r="L684" s="21">
        <v>95000</v>
      </c>
      <c r="M684" s="21"/>
      <c r="N684" s="21">
        <f t="shared" ref="N684:N866" si="233">SUM(L684:M684)</f>
        <v>95000</v>
      </c>
      <c r="O684" s="283"/>
      <c r="P684" s="647" t="s">
        <v>110</v>
      </c>
      <c r="Q684" s="1136" t="s">
        <v>105</v>
      </c>
      <c r="R684" s="70">
        <v>95000</v>
      </c>
      <c r="S684" s="70">
        <v>95000</v>
      </c>
      <c r="T684" s="961"/>
      <c r="U684" s="525"/>
      <c r="V684" s="523" t="s">
        <v>307</v>
      </c>
    </row>
    <row r="685" spans="2:22" ht="30">
      <c r="B685" s="646" t="s">
        <v>311</v>
      </c>
      <c r="C685" s="646"/>
      <c r="D685" s="647" t="s">
        <v>3496</v>
      </c>
      <c r="E685" s="527">
        <v>41121</v>
      </c>
      <c r="F685" s="527"/>
      <c r="G685" s="525" t="s">
        <v>3495</v>
      </c>
      <c r="H685" s="525"/>
      <c r="I685" s="31"/>
      <c r="J685" s="1233"/>
      <c r="K685" s="31"/>
      <c r="L685" s="21">
        <v>5000</v>
      </c>
      <c r="M685" s="21"/>
      <c r="N685" s="21">
        <f t="shared" si="233"/>
        <v>5000</v>
      </c>
      <c r="O685" s="283"/>
      <c r="P685" s="647" t="s">
        <v>110</v>
      </c>
      <c r="Q685" s="1136" t="s">
        <v>105</v>
      </c>
      <c r="R685" s="70">
        <v>5000</v>
      </c>
      <c r="S685" s="70">
        <v>5000</v>
      </c>
      <c r="T685" s="961"/>
      <c r="U685" s="525"/>
      <c r="V685" s="523" t="s">
        <v>307</v>
      </c>
    </row>
    <row r="686" spans="2:22" ht="30">
      <c r="B686" s="646" t="s">
        <v>331</v>
      </c>
      <c r="C686" s="646"/>
      <c r="D686" s="647" t="s">
        <v>3497</v>
      </c>
      <c r="E686" s="527">
        <v>41121</v>
      </c>
      <c r="F686" s="527"/>
      <c r="G686" s="525" t="s">
        <v>1698</v>
      </c>
      <c r="H686" s="525"/>
      <c r="I686" s="31"/>
      <c r="J686" s="1233"/>
      <c r="K686" s="31"/>
      <c r="L686" s="21">
        <v>15000</v>
      </c>
      <c r="M686" s="21"/>
      <c r="N686" s="21">
        <f t="shared" si="233"/>
        <v>15000</v>
      </c>
      <c r="O686" s="283"/>
      <c r="P686" s="647" t="s">
        <v>110</v>
      </c>
      <c r="Q686" s="1136" t="s">
        <v>105</v>
      </c>
      <c r="R686" s="70">
        <v>15000</v>
      </c>
      <c r="S686" s="70">
        <v>15000</v>
      </c>
      <c r="T686" s="961"/>
      <c r="U686" s="525"/>
      <c r="V686" s="523" t="s">
        <v>307</v>
      </c>
    </row>
    <row r="687" spans="2:22" ht="30">
      <c r="B687" s="646" t="s">
        <v>331</v>
      </c>
      <c r="C687" s="646"/>
      <c r="D687" s="647" t="s">
        <v>3498</v>
      </c>
      <c r="E687" s="527">
        <v>41121</v>
      </c>
      <c r="F687" s="527"/>
      <c r="G687" s="525" t="s">
        <v>1698</v>
      </c>
      <c r="H687" s="525"/>
      <c r="I687" s="31"/>
      <c r="J687" s="1233"/>
      <c r="K687" s="31"/>
      <c r="L687" s="21">
        <v>35000</v>
      </c>
      <c r="M687" s="21"/>
      <c r="N687" s="21">
        <f t="shared" si="233"/>
        <v>35000</v>
      </c>
      <c r="O687" s="283"/>
      <c r="P687" s="647" t="s">
        <v>110</v>
      </c>
      <c r="Q687" s="1136" t="s">
        <v>105</v>
      </c>
      <c r="R687" s="70">
        <v>35000</v>
      </c>
      <c r="S687" s="70">
        <v>35000</v>
      </c>
      <c r="T687" s="961"/>
      <c r="U687" s="525"/>
      <c r="V687" s="523" t="s">
        <v>307</v>
      </c>
    </row>
    <row r="688" spans="2:22" ht="30">
      <c r="B688" s="646" t="s">
        <v>349</v>
      </c>
      <c r="C688" s="646"/>
      <c r="D688" s="647" t="s">
        <v>3500</v>
      </c>
      <c r="E688" s="527">
        <v>41121</v>
      </c>
      <c r="F688" s="527"/>
      <c r="G688" s="525" t="s">
        <v>3499</v>
      </c>
      <c r="H688" s="525"/>
      <c r="I688" s="31"/>
      <c r="J688" s="1233"/>
      <c r="K688" s="31"/>
      <c r="L688" s="21">
        <v>5000</v>
      </c>
      <c r="M688" s="21"/>
      <c r="N688" s="21">
        <f t="shared" si="233"/>
        <v>5000</v>
      </c>
      <c r="O688" s="283"/>
      <c r="P688" s="647" t="s">
        <v>110</v>
      </c>
      <c r="Q688" s="1136" t="s">
        <v>105</v>
      </c>
      <c r="R688" s="70">
        <v>5000</v>
      </c>
      <c r="S688" s="70">
        <v>5000</v>
      </c>
      <c r="T688" s="961" t="s">
        <v>6008</v>
      </c>
      <c r="U688" s="525"/>
      <c r="V688" s="523" t="s">
        <v>307</v>
      </c>
    </row>
    <row r="689" spans="2:22" ht="30">
      <c r="B689" s="646" t="s">
        <v>331</v>
      </c>
      <c r="C689" s="646"/>
      <c r="D689" s="647" t="s">
        <v>3501</v>
      </c>
      <c r="E689" s="527">
        <v>41121</v>
      </c>
      <c r="F689" s="527"/>
      <c r="G689" s="525" t="s">
        <v>364</v>
      </c>
      <c r="H689" s="525"/>
      <c r="I689" s="31"/>
      <c r="J689" s="1233"/>
      <c r="K689" s="31"/>
      <c r="L689" s="21">
        <v>20000</v>
      </c>
      <c r="M689" s="21"/>
      <c r="N689" s="21">
        <f t="shared" si="233"/>
        <v>20000</v>
      </c>
      <c r="O689" s="283"/>
      <c r="P689" s="647" t="s">
        <v>110</v>
      </c>
      <c r="Q689" s="1136" t="s">
        <v>105</v>
      </c>
      <c r="R689" s="70">
        <v>20000</v>
      </c>
      <c r="S689" s="70">
        <v>20000</v>
      </c>
      <c r="T689" s="961"/>
      <c r="U689" s="525"/>
      <c r="V689" s="523" t="s">
        <v>307</v>
      </c>
    </row>
    <row r="690" spans="2:22" ht="30">
      <c r="B690" s="646" t="s">
        <v>311</v>
      </c>
      <c r="C690" s="646"/>
      <c r="D690" s="647" t="s">
        <v>3502</v>
      </c>
      <c r="E690" s="527">
        <v>41121</v>
      </c>
      <c r="F690" s="527"/>
      <c r="G690" s="525" t="s">
        <v>386</v>
      </c>
      <c r="H690" s="525"/>
      <c r="I690" s="31"/>
      <c r="J690" s="1233"/>
      <c r="K690" s="31"/>
      <c r="L690" s="21">
        <v>7500</v>
      </c>
      <c r="M690" s="21"/>
      <c r="N690" s="21">
        <f t="shared" si="233"/>
        <v>7500</v>
      </c>
      <c r="O690" s="283"/>
      <c r="P690" s="647" t="s">
        <v>110</v>
      </c>
      <c r="Q690" s="1136" t="s">
        <v>105</v>
      </c>
      <c r="R690" s="70">
        <v>7500</v>
      </c>
      <c r="S690" s="70">
        <v>7500</v>
      </c>
      <c r="T690" s="961"/>
      <c r="U690" s="525"/>
      <c r="V690" s="523" t="s">
        <v>307</v>
      </c>
    </row>
    <row r="691" spans="2:22" ht="30">
      <c r="B691" s="646" t="s">
        <v>319</v>
      </c>
      <c r="C691" s="646"/>
      <c r="D691" s="647" t="s">
        <v>3504</v>
      </c>
      <c r="E691" s="527">
        <v>41121</v>
      </c>
      <c r="F691" s="527"/>
      <c r="G691" s="525" t="s">
        <v>3503</v>
      </c>
      <c r="H691" s="525"/>
      <c r="I691" s="31"/>
      <c r="J691" s="1233"/>
      <c r="K691" s="31"/>
      <c r="L691" s="21">
        <v>500</v>
      </c>
      <c r="M691" s="21"/>
      <c r="N691" s="21">
        <f t="shared" si="233"/>
        <v>500</v>
      </c>
      <c r="O691" s="283"/>
      <c r="P691" s="647" t="s">
        <v>110</v>
      </c>
      <c r="Q691" s="1136" t="s">
        <v>105</v>
      </c>
      <c r="R691" s="70">
        <v>500</v>
      </c>
      <c r="S691" s="70">
        <v>500</v>
      </c>
      <c r="T691" s="961"/>
      <c r="U691" s="525"/>
      <c r="V691" s="523" t="s">
        <v>307</v>
      </c>
    </row>
    <row r="692" spans="2:22" ht="30">
      <c r="B692" s="646" t="s">
        <v>314</v>
      </c>
      <c r="C692" s="646"/>
      <c r="D692" s="647" t="s">
        <v>3506</v>
      </c>
      <c r="E692" s="527">
        <v>41121</v>
      </c>
      <c r="F692" s="527"/>
      <c r="G692" s="525" t="s">
        <v>3505</v>
      </c>
      <c r="H692" s="525"/>
      <c r="I692" s="31"/>
      <c r="J692" s="1233"/>
      <c r="K692" s="31"/>
      <c r="L692" s="21">
        <v>3500</v>
      </c>
      <c r="M692" s="21"/>
      <c r="N692" s="21">
        <f t="shared" si="233"/>
        <v>3500</v>
      </c>
      <c r="O692" s="283"/>
      <c r="P692" s="647" t="s">
        <v>110</v>
      </c>
      <c r="Q692" s="1136" t="s">
        <v>105</v>
      </c>
      <c r="R692" s="70">
        <v>3500</v>
      </c>
      <c r="S692" s="70">
        <v>3500</v>
      </c>
      <c r="T692" s="961"/>
      <c r="U692" s="525"/>
      <c r="V692" s="523" t="s">
        <v>307</v>
      </c>
    </row>
    <row r="693" spans="2:22" ht="30">
      <c r="B693" s="646" t="s">
        <v>349</v>
      </c>
      <c r="C693" s="646"/>
      <c r="D693" s="647" t="s">
        <v>3508</v>
      </c>
      <c r="E693" s="527">
        <v>41121</v>
      </c>
      <c r="F693" s="527"/>
      <c r="G693" s="525" t="s">
        <v>3507</v>
      </c>
      <c r="H693" s="525"/>
      <c r="I693" s="31"/>
      <c r="J693" s="1233"/>
      <c r="K693" s="31"/>
      <c r="L693" s="21">
        <v>4284</v>
      </c>
      <c r="M693" s="21"/>
      <c r="N693" s="21">
        <f t="shared" si="233"/>
        <v>4284</v>
      </c>
      <c r="O693" s="283"/>
      <c r="P693" s="647" t="s">
        <v>110</v>
      </c>
      <c r="Q693" s="1136" t="s">
        <v>105</v>
      </c>
      <c r="R693" s="145">
        <f>SUM(R694:R704)</f>
        <v>4284</v>
      </c>
      <c r="S693" s="145">
        <f>SUM(S694:S704)</f>
        <v>4284</v>
      </c>
      <c r="T693" s="961" t="s">
        <v>6046</v>
      </c>
      <c r="U693" s="525"/>
      <c r="V693" s="523" t="s">
        <v>307</v>
      </c>
    </row>
    <row r="694" spans="2:22">
      <c r="B694" s="648" t="s">
        <v>3509</v>
      </c>
      <c r="C694" s="648"/>
      <c r="D694" s="649"/>
      <c r="E694" s="444"/>
      <c r="F694" s="444"/>
      <c r="G694" s="42"/>
      <c r="H694" s="42"/>
      <c r="L694" s="283"/>
      <c r="M694" s="283"/>
      <c r="N694" s="283"/>
      <c r="O694" s="283"/>
      <c r="P694" s="525"/>
      <c r="Q694" s="21"/>
      <c r="R694" s="316">
        <v>20</v>
      </c>
      <c r="S694" s="316">
        <v>20</v>
      </c>
      <c r="T694" s="962"/>
      <c r="U694" s="42"/>
      <c r="V694" s="288"/>
    </row>
    <row r="695" spans="2:22" ht="30">
      <c r="B695" s="648" t="s">
        <v>3510</v>
      </c>
      <c r="C695" s="648"/>
      <c r="D695" s="649"/>
      <c r="E695" s="444"/>
      <c r="F695" s="444"/>
      <c r="G695" s="42"/>
      <c r="H695" s="42"/>
      <c r="L695" s="283"/>
      <c r="M695" s="283"/>
      <c r="N695" s="283"/>
      <c r="O695" s="283"/>
      <c r="P695" s="525"/>
      <c r="Q695" s="21"/>
      <c r="R695" s="316">
        <v>30</v>
      </c>
      <c r="S695" s="316">
        <v>30</v>
      </c>
      <c r="T695" s="962" t="s">
        <v>6047</v>
      </c>
      <c r="U695" s="42"/>
      <c r="V695" s="288"/>
    </row>
    <row r="696" spans="2:22">
      <c r="B696" s="648" t="s">
        <v>3511</v>
      </c>
      <c r="C696" s="648"/>
      <c r="D696" s="649"/>
      <c r="E696" s="444"/>
      <c r="F696" s="444"/>
      <c r="G696" s="42"/>
      <c r="H696" s="42"/>
      <c r="L696" s="283"/>
      <c r="M696" s="283"/>
      <c r="N696" s="283"/>
      <c r="O696" s="283"/>
      <c r="P696" s="525"/>
      <c r="Q696" s="21"/>
      <c r="R696" s="316">
        <v>50</v>
      </c>
      <c r="S696" s="316">
        <v>50</v>
      </c>
      <c r="T696" s="962"/>
      <c r="U696" s="42"/>
      <c r="V696" s="288"/>
    </row>
    <row r="697" spans="2:22">
      <c r="B697" s="648" t="s">
        <v>3512</v>
      </c>
      <c r="C697" s="648"/>
      <c r="D697" s="649"/>
      <c r="E697" s="444"/>
      <c r="F697" s="444"/>
      <c r="G697" s="42"/>
      <c r="H697" s="42"/>
      <c r="L697" s="283"/>
      <c r="M697" s="283"/>
      <c r="N697" s="283"/>
      <c r="O697" s="283"/>
      <c r="P697" s="525"/>
      <c r="Q697" s="21"/>
      <c r="R697" s="316">
        <v>415</v>
      </c>
      <c r="S697" s="316">
        <v>415</v>
      </c>
      <c r="T697" s="962"/>
      <c r="U697" s="42"/>
      <c r="V697" s="288"/>
    </row>
    <row r="698" spans="2:22">
      <c r="B698" s="648" t="s">
        <v>3513</v>
      </c>
      <c r="C698" s="648"/>
      <c r="D698" s="649"/>
      <c r="E698" s="444"/>
      <c r="F698" s="444"/>
      <c r="G698" s="42"/>
      <c r="H698" s="42"/>
      <c r="L698" s="283"/>
      <c r="M698" s="283"/>
      <c r="N698" s="283"/>
      <c r="O698" s="283"/>
      <c r="P698" s="525"/>
      <c r="Q698" s="21"/>
      <c r="R698" s="316">
        <v>865</v>
      </c>
      <c r="S698" s="316">
        <v>865</v>
      </c>
      <c r="T698" s="962"/>
      <c r="U698" s="42"/>
      <c r="V698" s="288"/>
    </row>
    <row r="699" spans="2:22">
      <c r="B699" s="648" t="s">
        <v>3514</v>
      </c>
      <c r="C699" s="648"/>
      <c r="D699" s="649"/>
      <c r="E699" s="444"/>
      <c r="F699" s="444"/>
      <c r="G699" s="42"/>
      <c r="H699" s="42"/>
      <c r="L699" s="283"/>
      <c r="M699" s="283"/>
      <c r="N699" s="283"/>
      <c r="O699" s="283"/>
      <c r="P699" s="525"/>
      <c r="Q699" s="21"/>
      <c r="R699" s="316">
        <v>406</v>
      </c>
      <c r="S699" s="316">
        <v>406</v>
      </c>
      <c r="T699" s="962"/>
      <c r="U699" s="42"/>
      <c r="V699" s="288"/>
    </row>
    <row r="700" spans="2:22">
      <c r="B700" s="648" t="s">
        <v>1743</v>
      </c>
      <c r="C700" s="648"/>
      <c r="D700" s="649"/>
      <c r="E700" s="444"/>
      <c r="F700" s="444"/>
      <c r="G700" s="42"/>
      <c r="H700" s="42"/>
      <c r="L700" s="283"/>
      <c r="M700" s="283"/>
      <c r="N700" s="283"/>
      <c r="O700" s="283"/>
      <c r="P700" s="525"/>
      <c r="Q700" s="21"/>
      <c r="R700" s="316">
        <v>14</v>
      </c>
      <c r="S700" s="316">
        <v>14</v>
      </c>
      <c r="T700" s="962"/>
      <c r="U700" s="42"/>
      <c r="V700" s="288"/>
    </row>
    <row r="701" spans="2:22">
      <c r="B701" s="648" t="s">
        <v>3515</v>
      </c>
      <c r="C701" s="648"/>
      <c r="D701" s="649"/>
      <c r="E701" s="444"/>
      <c r="F701" s="444"/>
      <c r="G701" s="42"/>
      <c r="H701" s="42"/>
      <c r="L701" s="283"/>
      <c r="M701" s="283"/>
      <c r="N701" s="283"/>
      <c r="O701" s="283"/>
      <c r="P701" s="525"/>
      <c r="Q701" s="21"/>
      <c r="R701" s="316">
        <v>14</v>
      </c>
      <c r="S701" s="316">
        <v>14</v>
      </c>
      <c r="T701" s="962"/>
      <c r="U701" s="42"/>
      <c r="V701" s="288"/>
    </row>
    <row r="702" spans="2:22">
      <c r="B702" s="648" t="s">
        <v>3516</v>
      </c>
      <c r="C702" s="648"/>
      <c r="D702" s="649"/>
      <c r="E702" s="444"/>
      <c r="F702" s="444"/>
      <c r="G702" s="42"/>
      <c r="H702" s="42"/>
      <c r="L702" s="283"/>
      <c r="M702" s="283"/>
      <c r="N702" s="283"/>
      <c r="O702" s="283"/>
      <c r="P702" s="525"/>
      <c r="Q702" s="21"/>
      <c r="R702" s="316">
        <v>540</v>
      </c>
      <c r="S702" s="316">
        <v>540</v>
      </c>
      <c r="T702" s="962"/>
      <c r="U702" s="42"/>
      <c r="V702" s="288"/>
    </row>
    <row r="703" spans="2:22">
      <c r="B703" s="648" t="s">
        <v>3517</v>
      </c>
      <c r="C703" s="648"/>
      <c r="D703" s="649"/>
      <c r="E703" s="444"/>
      <c r="F703" s="444"/>
      <c r="G703" s="42"/>
      <c r="H703" s="42"/>
      <c r="L703" s="283"/>
      <c r="M703" s="283"/>
      <c r="N703" s="283"/>
      <c r="O703" s="283"/>
      <c r="P703" s="525"/>
      <c r="Q703" s="21"/>
      <c r="R703" s="316">
        <v>161</v>
      </c>
      <c r="S703" s="316">
        <v>161</v>
      </c>
      <c r="T703" s="962"/>
      <c r="U703" s="42"/>
      <c r="V703" s="288"/>
    </row>
    <row r="704" spans="2:22">
      <c r="B704" s="648" t="s">
        <v>3518</v>
      </c>
      <c r="C704" s="648"/>
      <c r="D704" s="649"/>
      <c r="E704" s="444"/>
      <c r="F704" s="444"/>
      <c r="G704" s="42"/>
      <c r="H704" s="42"/>
      <c r="L704" s="283"/>
      <c r="M704" s="283"/>
      <c r="N704" s="283"/>
      <c r="O704" s="283"/>
      <c r="P704" s="525"/>
      <c r="Q704" s="21"/>
      <c r="R704" s="316">
        <v>1769</v>
      </c>
      <c r="S704" s="316">
        <v>1769</v>
      </c>
      <c r="T704" s="962"/>
      <c r="U704" s="42"/>
      <c r="V704" s="288"/>
    </row>
    <row r="705" spans="2:22" ht="30">
      <c r="B705" s="646" t="s">
        <v>314</v>
      </c>
      <c r="C705" s="646"/>
      <c r="D705" s="647" t="s">
        <v>3520</v>
      </c>
      <c r="E705" s="527">
        <v>41121</v>
      </c>
      <c r="F705" s="527"/>
      <c r="G705" s="525" t="s">
        <v>3519</v>
      </c>
      <c r="H705" s="525"/>
      <c r="I705" s="31"/>
      <c r="J705" s="1233"/>
      <c r="K705" s="31"/>
      <c r="L705" s="21">
        <v>14500</v>
      </c>
      <c r="M705" s="21"/>
      <c r="N705" s="21">
        <f t="shared" si="233"/>
        <v>14500</v>
      </c>
      <c r="O705" s="283"/>
      <c r="P705" s="647" t="s">
        <v>110</v>
      </c>
      <c r="Q705" s="1136" t="s">
        <v>105</v>
      </c>
      <c r="R705" s="70">
        <v>14500</v>
      </c>
      <c r="S705" s="70">
        <v>14500</v>
      </c>
      <c r="T705" s="961"/>
      <c r="U705" s="525"/>
      <c r="V705" s="523" t="s">
        <v>307</v>
      </c>
    </row>
    <row r="706" spans="2:22" ht="30">
      <c r="B706" s="646" t="s">
        <v>3521</v>
      </c>
      <c r="C706" s="646"/>
      <c r="D706" s="647" t="s">
        <v>3523</v>
      </c>
      <c r="E706" s="527">
        <v>41121</v>
      </c>
      <c r="F706" s="527"/>
      <c r="G706" s="525" t="s">
        <v>3522</v>
      </c>
      <c r="H706" s="525"/>
      <c r="I706" s="31"/>
      <c r="J706" s="1233"/>
      <c r="K706" s="31"/>
      <c r="L706" s="21">
        <v>7500</v>
      </c>
      <c r="M706" s="21"/>
      <c r="N706" s="21">
        <f t="shared" si="233"/>
        <v>7500</v>
      </c>
      <c r="O706" s="283"/>
      <c r="P706" s="647" t="s">
        <v>110</v>
      </c>
      <c r="Q706" s="1136" t="s">
        <v>105</v>
      </c>
      <c r="R706" s="70">
        <v>7500</v>
      </c>
      <c r="S706" s="70">
        <v>7500</v>
      </c>
      <c r="T706" s="961"/>
      <c r="U706" s="525"/>
      <c r="V706" s="523" t="s">
        <v>307</v>
      </c>
    </row>
    <row r="707" spans="2:22" ht="30">
      <c r="B707" s="646" t="s">
        <v>314</v>
      </c>
      <c r="C707" s="646"/>
      <c r="D707" s="647" t="s">
        <v>3525</v>
      </c>
      <c r="E707" s="527">
        <v>41121</v>
      </c>
      <c r="F707" s="527"/>
      <c r="G707" s="525" t="s">
        <v>3524</v>
      </c>
      <c r="H707" s="525"/>
      <c r="I707" s="31"/>
      <c r="J707" s="1233"/>
      <c r="K707" s="31"/>
      <c r="L707" s="21">
        <v>2500</v>
      </c>
      <c r="M707" s="21"/>
      <c r="N707" s="21">
        <f t="shared" si="233"/>
        <v>2500</v>
      </c>
      <c r="O707" s="283"/>
      <c r="P707" s="647" t="s">
        <v>110</v>
      </c>
      <c r="Q707" s="1136" t="s">
        <v>105</v>
      </c>
      <c r="R707" s="70">
        <v>2500</v>
      </c>
      <c r="S707" s="70">
        <v>2500</v>
      </c>
      <c r="T707" s="961"/>
      <c r="U707" s="525"/>
      <c r="V707" s="523" t="s">
        <v>307</v>
      </c>
    </row>
    <row r="708" spans="2:22" ht="30">
      <c r="B708" s="646" t="s">
        <v>321</v>
      </c>
      <c r="C708" s="646"/>
      <c r="D708" s="647" t="s">
        <v>3526</v>
      </c>
      <c r="E708" s="527">
        <v>41121</v>
      </c>
      <c r="F708" s="527"/>
      <c r="G708" s="525" t="s">
        <v>315</v>
      </c>
      <c r="H708" s="525"/>
      <c r="I708" s="31"/>
      <c r="J708" s="1233"/>
      <c r="K708" s="31"/>
      <c r="L708" s="21">
        <v>12500</v>
      </c>
      <c r="M708" s="21"/>
      <c r="N708" s="21">
        <f t="shared" si="233"/>
        <v>12500</v>
      </c>
      <c r="O708" s="283"/>
      <c r="P708" s="647" t="s">
        <v>110</v>
      </c>
      <c r="Q708" s="1136" t="s">
        <v>105</v>
      </c>
      <c r="R708" s="70">
        <v>12500</v>
      </c>
      <c r="S708" s="70">
        <v>12500</v>
      </c>
      <c r="T708" s="961"/>
      <c r="U708" s="525"/>
      <c r="V708" s="523" t="s">
        <v>307</v>
      </c>
    </row>
    <row r="709" spans="2:22">
      <c r="B709" s="715" t="s">
        <v>6421</v>
      </c>
      <c r="C709" s="646"/>
      <c r="D709" s="647"/>
      <c r="E709" s="527"/>
      <c r="F709" s="527"/>
      <c r="G709" s="525"/>
      <c r="H709" s="525"/>
      <c r="I709" s="31"/>
      <c r="J709" s="1233"/>
      <c r="K709" s="31"/>
      <c r="L709" s="21"/>
      <c r="M709" s="21"/>
      <c r="N709" s="21"/>
      <c r="O709" s="283"/>
      <c r="P709" s="647"/>
      <c r="Q709" s="1136"/>
      <c r="R709" s="70"/>
      <c r="S709" s="70"/>
      <c r="T709" s="961"/>
      <c r="U709" s="525"/>
      <c r="V709" s="523"/>
    </row>
    <row r="710" spans="2:22">
      <c r="B710" s="715" t="s">
        <v>6422</v>
      </c>
      <c r="C710" s="646"/>
      <c r="D710" s="647"/>
      <c r="E710" s="527"/>
      <c r="F710" s="527"/>
      <c r="G710" s="525"/>
      <c r="H710" s="525"/>
      <c r="I710" s="31"/>
      <c r="J710" s="1233"/>
      <c r="K710" s="31"/>
      <c r="L710" s="21"/>
      <c r="M710" s="21"/>
      <c r="N710" s="21"/>
      <c r="O710" s="283"/>
      <c r="P710" s="647"/>
      <c r="Q710" s="1136"/>
      <c r="R710" s="70"/>
      <c r="S710" s="70"/>
      <c r="T710" s="30" t="s">
        <v>6133</v>
      </c>
      <c r="U710" s="525"/>
      <c r="V710" s="523"/>
    </row>
    <row r="711" spans="2:22">
      <c r="B711" s="715" t="s">
        <v>6423</v>
      </c>
      <c r="C711" s="646"/>
      <c r="D711" s="647"/>
      <c r="E711" s="527"/>
      <c r="F711" s="527"/>
      <c r="G711" s="525"/>
      <c r="H711" s="525"/>
      <c r="I711" s="31"/>
      <c r="J711" s="1233"/>
      <c r="K711" s="31"/>
      <c r="L711" s="21"/>
      <c r="M711" s="21"/>
      <c r="N711" s="21"/>
      <c r="O711" s="283"/>
      <c r="P711" s="647"/>
      <c r="Q711" s="1136"/>
      <c r="R711" s="70"/>
      <c r="S711" s="70"/>
      <c r="T711" s="30" t="s">
        <v>6426</v>
      </c>
      <c r="U711" s="525"/>
      <c r="V711" s="523"/>
    </row>
    <row r="712" spans="2:22">
      <c r="B712" s="715" t="s">
        <v>6424</v>
      </c>
      <c r="C712" s="646"/>
      <c r="D712" s="647"/>
      <c r="E712" s="527"/>
      <c r="F712" s="527"/>
      <c r="G712" s="525"/>
      <c r="H712" s="525"/>
      <c r="I712" s="31"/>
      <c r="J712" s="1233"/>
      <c r="K712" s="31"/>
      <c r="L712" s="21"/>
      <c r="M712" s="21"/>
      <c r="N712" s="21"/>
      <c r="O712" s="283"/>
      <c r="P712" s="647"/>
      <c r="Q712" s="1136"/>
      <c r="R712" s="70"/>
      <c r="S712" s="70"/>
      <c r="T712" s="961"/>
      <c r="U712" s="525"/>
      <c r="V712" s="523"/>
    </row>
    <row r="713" spans="2:22">
      <c r="B713" s="715" t="s">
        <v>6425</v>
      </c>
      <c r="C713" s="646"/>
      <c r="D713" s="647"/>
      <c r="E713" s="527"/>
      <c r="F713" s="527"/>
      <c r="G713" s="525"/>
      <c r="H713" s="525"/>
      <c r="I713" s="31"/>
      <c r="J713" s="1233"/>
      <c r="K713" s="31"/>
      <c r="L713" s="21"/>
      <c r="M713" s="21"/>
      <c r="N713" s="21"/>
      <c r="O713" s="283"/>
      <c r="P713" s="647"/>
      <c r="Q713" s="1136"/>
      <c r="R713" s="70"/>
      <c r="S713" s="70"/>
      <c r="T713" s="961"/>
      <c r="U713" s="525"/>
      <c r="V713" s="523"/>
    </row>
    <row r="714" spans="2:22">
      <c r="B714" s="646"/>
      <c r="C714" s="646"/>
      <c r="D714" s="647"/>
      <c r="E714" s="527"/>
      <c r="F714" s="527"/>
      <c r="G714" s="525"/>
      <c r="H714" s="525"/>
      <c r="I714" s="31"/>
      <c r="J714" s="1233"/>
      <c r="K714" s="31"/>
      <c r="L714" s="21"/>
      <c r="M714" s="21"/>
      <c r="N714" s="21"/>
      <c r="O714" s="283"/>
      <c r="P714" s="647"/>
      <c r="Q714" s="1136"/>
      <c r="R714" s="70"/>
      <c r="S714" s="70"/>
      <c r="T714" s="961"/>
      <c r="U714" s="525"/>
      <c r="V714" s="523"/>
    </row>
    <row r="715" spans="2:22" ht="30">
      <c r="B715" s="646" t="s">
        <v>343</v>
      </c>
      <c r="C715" s="646"/>
      <c r="D715" s="647" t="s">
        <v>3528</v>
      </c>
      <c r="E715" s="527">
        <v>41124</v>
      </c>
      <c r="F715" s="527"/>
      <c r="G715" s="525" t="s">
        <v>3527</v>
      </c>
      <c r="H715" s="525"/>
      <c r="I715" s="31"/>
      <c r="J715" s="1233"/>
      <c r="K715" s="31"/>
      <c r="L715" s="21">
        <v>15000</v>
      </c>
      <c r="M715" s="21"/>
      <c r="N715" s="21">
        <f t="shared" si="233"/>
        <v>15000</v>
      </c>
      <c r="O715" s="283"/>
      <c r="P715" s="647" t="s">
        <v>110</v>
      </c>
      <c r="Q715" s="1136" t="s">
        <v>105</v>
      </c>
      <c r="R715" s="70">
        <v>15000</v>
      </c>
      <c r="S715" s="70">
        <v>15000</v>
      </c>
      <c r="T715" s="961"/>
      <c r="U715" s="525"/>
      <c r="V715" s="523" t="s">
        <v>307</v>
      </c>
    </row>
    <row r="716" spans="2:22" ht="30">
      <c r="B716" s="646" t="s">
        <v>349</v>
      </c>
      <c r="C716" s="646"/>
      <c r="D716" s="647" t="s">
        <v>3529</v>
      </c>
      <c r="E716" s="527">
        <v>41124</v>
      </c>
      <c r="F716" s="527"/>
      <c r="G716" s="525" t="s">
        <v>2165</v>
      </c>
      <c r="H716" s="525"/>
      <c r="I716" s="31"/>
      <c r="J716" s="1233"/>
      <c r="K716" s="31"/>
      <c r="L716" s="21">
        <v>500</v>
      </c>
      <c r="M716" s="21"/>
      <c r="N716" s="21">
        <f t="shared" si="233"/>
        <v>500</v>
      </c>
      <c r="O716" s="283"/>
      <c r="P716" s="647" t="s">
        <v>110</v>
      </c>
      <c r="Q716" s="1136" t="s">
        <v>105</v>
      </c>
      <c r="R716" s="70">
        <v>500</v>
      </c>
      <c r="S716" s="70">
        <v>500</v>
      </c>
      <c r="T716" s="961"/>
      <c r="U716" s="525"/>
      <c r="V716" s="523" t="s">
        <v>307</v>
      </c>
    </row>
    <row r="717" spans="2:22" ht="30">
      <c r="B717" s="646" t="s">
        <v>308</v>
      </c>
      <c r="C717" s="646"/>
      <c r="D717" s="647" t="s">
        <v>3531</v>
      </c>
      <c r="E717" s="527">
        <v>41124</v>
      </c>
      <c r="F717" s="527"/>
      <c r="G717" s="525" t="s">
        <v>3530</v>
      </c>
      <c r="H717" s="525"/>
      <c r="I717" s="31"/>
      <c r="J717" s="1233"/>
      <c r="K717" s="31"/>
      <c r="L717" s="21">
        <v>1000</v>
      </c>
      <c r="M717" s="21"/>
      <c r="N717" s="21">
        <f t="shared" si="233"/>
        <v>1000</v>
      </c>
      <c r="O717" s="283"/>
      <c r="P717" s="647" t="s">
        <v>110</v>
      </c>
      <c r="Q717" s="1136" t="s">
        <v>105</v>
      </c>
      <c r="R717" s="70">
        <v>1000</v>
      </c>
      <c r="S717" s="70">
        <v>1000</v>
      </c>
      <c r="T717" s="961"/>
      <c r="U717" s="525"/>
      <c r="V717" s="523" t="s">
        <v>307</v>
      </c>
    </row>
    <row r="718" spans="2:22" ht="30">
      <c r="B718" s="646" t="s">
        <v>331</v>
      </c>
      <c r="C718" s="646"/>
      <c r="D718" s="647" t="s">
        <v>3533</v>
      </c>
      <c r="E718" s="527">
        <v>41124</v>
      </c>
      <c r="F718" s="527"/>
      <c r="G718" s="525" t="s">
        <v>3532</v>
      </c>
      <c r="H718" s="525"/>
      <c r="I718" s="31"/>
      <c r="J718" s="1233"/>
      <c r="K718" s="31"/>
      <c r="L718" s="21">
        <v>2000</v>
      </c>
      <c r="M718" s="21"/>
      <c r="N718" s="21">
        <f t="shared" si="233"/>
        <v>2000</v>
      </c>
      <c r="O718" s="283"/>
      <c r="P718" s="647" t="s">
        <v>110</v>
      </c>
      <c r="Q718" s="1136" t="s">
        <v>105</v>
      </c>
      <c r="R718" s="70">
        <v>2000</v>
      </c>
      <c r="S718" s="70">
        <v>2000</v>
      </c>
      <c r="T718" s="961"/>
      <c r="U718" s="525"/>
      <c r="V718" s="523" t="s">
        <v>307</v>
      </c>
    </row>
    <row r="719" spans="2:22" ht="90">
      <c r="B719" s="646" t="s">
        <v>308</v>
      </c>
      <c r="C719" s="646"/>
      <c r="D719" s="647" t="s">
        <v>3534</v>
      </c>
      <c r="E719" s="527">
        <v>41124</v>
      </c>
      <c r="F719" s="527"/>
      <c r="G719" s="525" t="s">
        <v>2573</v>
      </c>
      <c r="H719" s="525"/>
      <c r="I719" s="31"/>
      <c r="J719" s="1233"/>
      <c r="K719" s="31"/>
      <c r="L719" s="21">
        <v>7000</v>
      </c>
      <c r="M719" s="21"/>
      <c r="N719" s="21">
        <f t="shared" si="233"/>
        <v>7000</v>
      </c>
      <c r="O719" s="283"/>
      <c r="P719" s="647" t="s">
        <v>110</v>
      </c>
      <c r="Q719" s="1136" t="s">
        <v>105</v>
      </c>
      <c r="R719" s="70">
        <v>7000</v>
      </c>
      <c r="S719" s="70">
        <v>7000</v>
      </c>
      <c r="T719" s="961" t="s">
        <v>4646</v>
      </c>
      <c r="U719" s="525"/>
      <c r="V719" s="523" t="s">
        <v>307</v>
      </c>
    </row>
    <row r="720" spans="2:22" ht="30">
      <c r="B720" s="646" t="s">
        <v>349</v>
      </c>
      <c r="C720" s="646"/>
      <c r="D720" s="647" t="s">
        <v>3536</v>
      </c>
      <c r="E720" s="527">
        <v>41124</v>
      </c>
      <c r="F720" s="527"/>
      <c r="G720" s="525" t="s">
        <v>3535</v>
      </c>
      <c r="H720" s="525"/>
      <c r="I720" s="31"/>
      <c r="J720" s="1233"/>
      <c r="K720" s="31"/>
      <c r="L720" s="21">
        <v>5000</v>
      </c>
      <c r="M720" s="21"/>
      <c r="N720" s="21">
        <f t="shared" si="233"/>
        <v>5000</v>
      </c>
      <c r="O720" s="283"/>
      <c r="P720" s="647" t="s">
        <v>110</v>
      </c>
      <c r="Q720" s="1136" t="s">
        <v>105</v>
      </c>
      <c r="R720" s="70">
        <v>5000</v>
      </c>
      <c r="S720" s="70">
        <v>5000</v>
      </c>
      <c r="T720" s="961"/>
      <c r="U720" s="525"/>
      <c r="V720" s="523" t="s">
        <v>307</v>
      </c>
    </row>
    <row r="721" spans="2:22" ht="30">
      <c r="B721" s="646" t="s">
        <v>311</v>
      </c>
      <c r="C721" s="646"/>
      <c r="D721" s="647" t="s">
        <v>3537</v>
      </c>
      <c r="E721" s="527">
        <v>41124</v>
      </c>
      <c r="F721" s="527"/>
      <c r="G721" s="525" t="s">
        <v>2666</v>
      </c>
      <c r="H721" s="525"/>
      <c r="I721" s="31"/>
      <c r="J721" s="1233"/>
      <c r="K721" s="31"/>
      <c r="L721" s="21">
        <v>5000</v>
      </c>
      <c r="M721" s="21"/>
      <c r="N721" s="21">
        <f t="shared" si="233"/>
        <v>5000</v>
      </c>
      <c r="O721" s="283"/>
      <c r="P721" s="647" t="s">
        <v>110</v>
      </c>
      <c r="Q721" s="1136" t="s">
        <v>105</v>
      </c>
      <c r="R721" s="70">
        <v>5000</v>
      </c>
      <c r="S721" s="70">
        <v>5000</v>
      </c>
      <c r="T721" s="961"/>
      <c r="U721" s="525"/>
      <c r="V721" s="523" t="s">
        <v>307</v>
      </c>
    </row>
    <row r="722" spans="2:22" ht="30">
      <c r="B722" s="646" t="s">
        <v>314</v>
      </c>
      <c r="C722" s="646"/>
      <c r="D722" s="647" t="s">
        <v>3538</v>
      </c>
      <c r="E722" s="527">
        <v>41124</v>
      </c>
      <c r="F722" s="527"/>
      <c r="G722" s="525" t="s">
        <v>315</v>
      </c>
      <c r="H722" s="525"/>
      <c r="I722" s="31"/>
      <c r="J722" s="1233"/>
      <c r="K722" s="31"/>
      <c r="L722" s="21">
        <v>10000</v>
      </c>
      <c r="M722" s="21"/>
      <c r="N722" s="21">
        <f t="shared" si="233"/>
        <v>10000</v>
      </c>
      <c r="O722" s="283"/>
      <c r="P722" s="647" t="s">
        <v>110</v>
      </c>
      <c r="Q722" s="1136" t="s">
        <v>105</v>
      </c>
      <c r="R722" s="70">
        <v>10000</v>
      </c>
      <c r="S722" s="70">
        <v>10000</v>
      </c>
      <c r="T722" s="961"/>
      <c r="U722" s="525"/>
      <c r="V722" s="523" t="s">
        <v>307</v>
      </c>
    </row>
    <row r="723" spans="2:22" ht="30">
      <c r="B723" s="646" t="s">
        <v>380</v>
      </c>
      <c r="C723" s="646"/>
      <c r="D723" s="647" t="s">
        <v>3540</v>
      </c>
      <c r="E723" s="527">
        <v>41124</v>
      </c>
      <c r="F723" s="527"/>
      <c r="G723" s="525" t="s">
        <v>3539</v>
      </c>
      <c r="H723" s="525"/>
      <c r="I723" s="31"/>
      <c r="J723" s="1233"/>
      <c r="K723" s="31"/>
      <c r="L723" s="21">
        <v>5000</v>
      </c>
      <c r="M723" s="21"/>
      <c r="N723" s="21">
        <f t="shared" si="233"/>
        <v>5000</v>
      </c>
      <c r="O723" s="283"/>
      <c r="P723" s="647" t="s">
        <v>110</v>
      </c>
      <c r="Q723" s="1136" t="s">
        <v>105</v>
      </c>
      <c r="R723" s="70">
        <v>5000</v>
      </c>
      <c r="S723" s="70">
        <v>5000</v>
      </c>
      <c r="T723" s="961"/>
      <c r="U723" s="525"/>
      <c r="V723" s="523" t="s">
        <v>307</v>
      </c>
    </row>
    <row r="724" spans="2:22" ht="30">
      <c r="B724" s="646" t="s">
        <v>388</v>
      </c>
      <c r="C724" s="646"/>
      <c r="D724" s="647" t="s">
        <v>3542</v>
      </c>
      <c r="E724" s="527">
        <v>41124</v>
      </c>
      <c r="F724" s="527"/>
      <c r="G724" s="525" t="s">
        <v>3541</v>
      </c>
      <c r="H724" s="525"/>
      <c r="I724" s="31"/>
      <c r="J724" s="1233"/>
      <c r="K724" s="31"/>
      <c r="L724" s="21">
        <v>5000</v>
      </c>
      <c r="M724" s="21"/>
      <c r="N724" s="21">
        <f t="shared" si="233"/>
        <v>5000</v>
      </c>
      <c r="O724" s="283"/>
      <c r="P724" s="647" t="s">
        <v>110</v>
      </c>
      <c r="Q724" s="1136" t="s">
        <v>105</v>
      </c>
      <c r="R724" s="70">
        <v>5000</v>
      </c>
      <c r="S724" s="70">
        <v>5000</v>
      </c>
      <c r="T724" s="961"/>
      <c r="U724" s="525"/>
      <c r="V724" s="523" t="s">
        <v>307</v>
      </c>
    </row>
    <row r="725" spans="2:22" ht="30">
      <c r="B725" s="646" t="s">
        <v>314</v>
      </c>
      <c r="C725" s="646"/>
      <c r="D725" s="647" t="s">
        <v>3543</v>
      </c>
      <c r="E725" s="527">
        <v>41124</v>
      </c>
      <c r="F725" s="527"/>
      <c r="G725" s="525" t="s">
        <v>1991</v>
      </c>
      <c r="H725" s="525"/>
      <c r="I725" s="31"/>
      <c r="J725" s="1233"/>
      <c r="K725" s="31"/>
      <c r="L725" s="21">
        <v>10000</v>
      </c>
      <c r="M725" s="21"/>
      <c r="N725" s="21">
        <f t="shared" si="233"/>
        <v>10000</v>
      </c>
      <c r="O725" s="283"/>
      <c r="P725" s="647" t="s">
        <v>110</v>
      </c>
      <c r="Q725" s="1136" t="s">
        <v>105</v>
      </c>
      <c r="R725" s="70">
        <v>10000</v>
      </c>
      <c r="S725" s="70">
        <v>10000</v>
      </c>
      <c r="T725" s="961"/>
      <c r="U725" s="525"/>
      <c r="V725" s="523" t="s">
        <v>307</v>
      </c>
    </row>
    <row r="726" spans="2:22" ht="30">
      <c r="B726" s="646" t="s">
        <v>311</v>
      </c>
      <c r="C726" s="646"/>
      <c r="D726" s="647" t="s">
        <v>3545</v>
      </c>
      <c r="E726" s="527">
        <v>41124</v>
      </c>
      <c r="F726" s="527"/>
      <c r="G726" s="525" t="s">
        <v>3544</v>
      </c>
      <c r="H726" s="525"/>
      <c r="I726" s="31"/>
      <c r="J726" s="1233"/>
      <c r="K726" s="31"/>
      <c r="L726" s="21">
        <v>6300</v>
      </c>
      <c r="M726" s="21"/>
      <c r="N726" s="21">
        <f t="shared" si="233"/>
        <v>6300</v>
      </c>
      <c r="O726" s="283"/>
      <c r="P726" s="647" t="s">
        <v>110</v>
      </c>
      <c r="Q726" s="1136" t="s">
        <v>105</v>
      </c>
      <c r="R726" s="70">
        <v>6300</v>
      </c>
      <c r="S726" s="70">
        <v>6300</v>
      </c>
      <c r="T726" s="961"/>
      <c r="U726" s="525"/>
      <c r="V726" s="523" t="s">
        <v>307</v>
      </c>
    </row>
    <row r="727" spans="2:22" ht="30">
      <c r="B727" s="646" t="s">
        <v>308</v>
      </c>
      <c r="C727" s="646"/>
      <c r="D727" s="647" t="s">
        <v>3547</v>
      </c>
      <c r="E727" s="527">
        <v>41127</v>
      </c>
      <c r="F727" s="527"/>
      <c r="G727" s="525" t="s">
        <v>3546</v>
      </c>
      <c r="H727" s="525"/>
      <c r="I727" s="31"/>
      <c r="J727" s="1233"/>
      <c r="K727" s="31"/>
      <c r="L727" s="21">
        <v>5340</v>
      </c>
      <c r="M727" s="21"/>
      <c r="N727" s="21">
        <f t="shared" si="233"/>
        <v>5340</v>
      </c>
      <c r="O727" s="283"/>
      <c r="P727" s="647" t="s">
        <v>110</v>
      </c>
      <c r="Q727" s="1136" t="s">
        <v>105</v>
      </c>
      <c r="R727" s="70"/>
      <c r="S727" s="70"/>
      <c r="T727" s="961"/>
      <c r="U727" s="525"/>
      <c r="V727" s="523" t="s">
        <v>307</v>
      </c>
    </row>
    <row r="728" spans="2:22" ht="90">
      <c r="B728" s="650" t="s">
        <v>3548</v>
      </c>
      <c r="C728" s="648"/>
      <c r="D728" s="649"/>
      <c r="E728" s="444"/>
      <c r="F728" s="444"/>
      <c r="G728" s="42"/>
      <c r="H728" s="42"/>
      <c r="L728" s="283"/>
      <c r="M728" s="283"/>
      <c r="N728" s="283"/>
      <c r="O728" s="283"/>
      <c r="P728" s="525"/>
      <c r="Q728" s="21"/>
      <c r="R728" s="70">
        <v>1900</v>
      </c>
      <c r="S728" s="70">
        <v>1900</v>
      </c>
      <c r="T728" s="961" t="s">
        <v>4646</v>
      </c>
      <c r="U728" s="42"/>
      <c r="V728" s="288"/>
    </row>
    <row r="729" spans="2:22" ht="90">
      <c r="B729" s="650" t="s">
        <v>3549</v>
      </c>
      <c r="C729" s="648"/>
      <c r="D729" s="649"/>
      <c r="E729" s="444"/>
      <c r="F729" s="444"/>
      <c r="G729" s="42"/>
      <c r="H729" s="42"/>
      <c r="L729" s="283"/>
      <c r="M729" s="283"/>
      <c r="N729" s="283"/>
      <c r="O729" s="283"/>
      <c r="P729" s="525"/>
      <c r="Q729" s="21"/>
      <c r="R729" s="70">
        <v>1710</v>
      </c>
      <c r="S729" s="70">
        <v>1710</v>
      </c>
      <c r="T729" s="961" t="s">
        <v>4646</v>
      </c>
      <c r="U729" s="42"/>
      <c r="V729" s="288"/>
    </row>
    <row r="730" spans="2:22" ht="90">
      <c r="B730" s="650" t="s">
        <v>3550</v>
      </c>
      <c r="C730" s="648"/>
      <c r="D730" s="649"/>
      <c r="E730" s="444"/>
      <c r="F730" s="444"/>
      <c r="G730" s="42"/>
      <c r="H730" s="42"/>
      <c r="L730" s="283"/>
      <c r="M730" s="283"/>
      <c r="N730" s="283"/>
      <c r="O730" s="283"/>
      <c r="P730" s="525"/>
      <c r="Q730" s="21"/>
      <c r="R730" s="70">
        <v>1500</v>
      </c>
      <c r="S730" s="70">
        <v>1500</v>
      </c>
      <c r="T730" s="961" t="s">
        <v>4646</v>
      </c>
      <c r="U730" s="42"/>
      <c r="V730" s="288"/>
    </row>
    <row r="731" spans="2:22" ht="90">
      <c r="B731" s="650" t="s">
        <v>3551</v>
      </c>
      <c r="C731" s="648"/>
      <c r="D731" s="649"/>
      <c r="E731" s="444"/>
      <c r="F731" s="444"/>
      <c r="G731" s="42"/>
      <c r="H731" s="42"/>
      <c r="L731" s="283"/>
      <c r="M731" s="283"/>
      <c r="N731" s="283"/>
      <c r="O731" s="283"/>
      <c r="P731" s="525"/>
      <c r="Q731" s="21"/>
      <c r="R731" s="70">
        <v>230</v>
      </c>
      <c r="S731" s="70">
        <v>230</v>
      </c>
      <c r="T731" s="961" t="s">
        <v>4646</v>
      </c>
      <c r="U731" s="42"/>
      <c r="V731" s="288"/>
    </row>
    <row r="732" spans="2:22" ht="30">
      <c r="B732" s="646" t="s">
        <v>321</v>
      </c>
      <c r="C732" s="646"/>
      <c r="D732" s="647" t="s">
        <v>3553</v>
      </c>
      <c r="E732" s="527">
        <v>41131</v>
      </c>
      <c r="F732" s="527"/>
      <c r="G732" s="525" t="s">
        <v>3552</v>
      </c>
      <c r="H732" s="525"/>
      <c r="I732" s="31"/>
      <c r="J732" s="1233"/>
      <c r="K732" s="31"/>
      <c r="L732" s="21">
        <v>7500</v>
      </c>
      <c r="M732" s="21"/>
      <c r="N732" s="21">
        <f t="shared" si="233"/>
        <v>7500</v>
      </c>
      <c r="O732" s="283"/>
      <c r="P732" s="647" t="s">
        <v>110</v>
      </c>
      <c r="Q732" s="1136" t="s">
        <v>105</v>
      </c>
      <c r="R732" s="70">
        <v>7500</v>
      </c>
      <c r="S732" s="70">
        <v>7500</v>
      </c>
      <c r="T732" s="961"/>
      <c r="U732" s="525"/>
      <c r="V732" s="523" t="s">
        <v>307</v>
      </c>
    </row>
    <row r="733" spans="2:22">
      <c r="B733" s="1085" t="s">
        <v>6427</v>
      </c>
      <c r="C733" s="646"/>
      <c r="D733" s="647"/>
      <c r="E733" s="527"/>
      <c r="F733" s="527"/>
      <c r="G733" s="525"/>
      <c r="H733" s="525"/>
      <c r="I733" s="31"/>
      <c r="J733" s="1233"/>
      <c r="K733" s="31"/>
      <c r="L733" s="21"/>
      <c r="M733" s="21"/>
      <c r="N733" s="21"/>
      <c r="O733" s="283"/>
      <c r="P733" s="647"/>
      <c r="Q733" s="1136"/>
      <c r="R733" s="70"/>
      <c r="S733" s="70"/>
      <c r="T733" s="961"/>
      <c r="U733" s="525"/>
      <c r="V733" s="523"/>
    </row>
    <row r="734" spans="2:22">
      <c r="B734" s="1085" t="s">
        <v>6428</v>
      </c>
      <c r="C734" s="646"/>
      <c r="D734" s="647"/>
      <c r="E734" s="527"/>
      <c r="F734" s="527"/>
      <c r="G734" s="525"/>
      <c r="H734" s="525"/>
      <c r="I734" s="31"/>
      <c r="J734" s="1233"/>
      <c r="K734" s="31"/>
      <c r="L734" s="21"/>
      <c r="M734" s="21"/>
      <c r="N734" s="21"/>
      <c r="O734" s="283"/>
      <c r="P734" s="647"/>
      <c r="Q734" s="1136"/>
      <c r="R734" s="70"/>
      <c r="S734" s="70"/>
      <c r="T734" s="961"/>
      <c r="U734" s="525"/>
      <c r="V734" s="523"/>
    </row>
    <row r="735" spans="2:22">
      <c r="B735" s="1085" t="s">
        <v>6429</v>
      </c>
      <c r="C735" s="646"/>
      <c r="D735" s="647"/>
      <c r="E735" s="527"/>
      <c r="F735" s="527"/>
      <c r="G735" s="525"/>
      <c r="H735" s="525"/>
      <c r="I735" s="31"/>
      <c r="J735" s="1233"/>
      <c r="K735" s="31"/>
      <c r="L735" s="21"/>
      <c r="M735" s="21"/>
      <c r="N735" s="21"/>
      <c r="O735" s="283"/>
      <c r="P735" s="647"/>
      <c r="Q735" s="1136"/>
      <c r="R735" s="70"/>
      <c r="S735" s="70"/>
      <c r="T735" s="961"/>
      <c r="U735" s="525"/>
      <c r="V735" s="523"/>
    </row>
    <row r="736" spans="2:22">
      <c r="B736" s="646"/>
      <c r="C736" s="646"/>
      <c r="D736" s="647"/>
      <c r="E736" s="527"/>
      <c r="F736" s="527"/>
      <c r="G736" s="525"/>
      <c r="H736" s="525"/>
      <c r="I736" s="31"/>
      <c r="J736" s="1233"/>
      <c r="K736" s="31"/>
      <c r="L736" s="21"/>
      <c r="M736" s="21"/>
      <c r="N736" s="21"/>
      <c r="O736" s="283"/>
      <c r="P736" s="647"/>
      <c r="Q736" s="1136"/>
      <c r="R736" s="70"/>
      <c r="S736" s="70"/>
      <c r="T736" s="961"/>
      <c r="U736" s="525"/>
      <c r="V736" s="523"/>
    </row>
    <row r="737" spans="2:22" ht="30">
      <c r="B737" s="646" t="s">
        <v>337</v>
      </c>
      <c r="C737" s="646"/>
      <c r="D737" s="647" t="s">
        <v>3554</v>
      </c>
      <c r="E737" s="527">
        <v>41131</v>
      </c>
      <c r="F737" s="527"/>
      <c r="G737" s="525" t="s">
        <v>401</v>
      </c>
      <c r="H737" s="525"/>
      <c r="I737" s="31"/>
      <c r="J737" s="1233"/>
      <c r="K737" s="31"/>
      <c r="L737" s="21">
        <v>14500</v>
      </c>
      <c r="M737" s="21"/>
      <c r="N737" s="21">
        <f t="shared" si="233"/>
        <v>14500</v>
      </c>
      <c r="O737" s="283"/>
      <c r="P737" s="647" t="s">
        <v>110</v>
      </c>
      <c r="Q737" s="1136" t="s">
        <v>105</v>
      </c>
      <c r="R737" s="70">
        <v>14500</v>
      </c>
      <c r="S737" s="70">
        <v>14500</v>
      </c>
      <c r="T737" s="961"/>
      <c r="U737" s="525"/>
      <c r="V737" s="523" t="s">
        <v>307</v>
      </c>
    </row>
    <row r="738" spans="2:22" ht="30">
      <c r="B738" s="646" t="s">
        <v>388</v>
      </c>
      <c r="C738" s="646"/>
      <c r="D738" s="647" t="s">
        <v>3556</v>
      </c>
      <c r="E738" s="527">
        <v>41131</v>
      </c>
      <c r="F738" s="527"/>
      <c r="G738" s="525" t="s">
        <v>3555</v>
      </c>
      <c r="H738" s="525"/>
      <c r="I738" s="31"/>
      <c r="J738" s="1233"/>
      <c r="K738" s="31"/>
      <c r="L738" s="21">
        <v>4500</v>
      </c>
      <c r="M738" s="21"/>
      <c r="N738" s="21">
        <f t="shared" si="233"/>
        <v>4500</v>
      </c>
      <c r="O738" s="283"/>
      <c r="P738" s="647" t="s">
        <v>110</v>
      </c>
      <c r="Q738" s="1136" t="s">
        <v>105</v>
      </c>
      <c r="R738" s="70"/>
      <c r="S738" s="70"/>
      <c r="T738" s="961"/>
      <c r="U738" s="525"/>
      <c r="V738" s="523" t="s">
        <v>307</v>
      </c>
    </row>
    <row r="739" spans="2:22">
      <c r="B739" s="648" t="s">
        <v>5712</v>
      </c>
      <c r="C739" s="646"/>
      <c r="D739" s="647"/>
      <c r="E739" s="527"/>
      <c r="F739" s="527"/>
      <c r="G739" s="525"/>
      <c r="H739" s="525"/>
      <c r="I739" s="31"/>
      <c r="J739" s="1233"/>
      <c r="K739" s="31"/>
      <c r="L739" s="21"/>
      <c r="M739" s="21"/>
      <c r="N739" s="21"/>
      <c r="O739" s="283"/>
      <c r="P739" s="647"/>
      <c r="Q739" s="1136"/>
      <c r="R739" s="70"/>
      <c r="S739" s="70">
        <v>3000</v>
      </c>
      <c r="T739" s="961"/>
      <c r="U739" s="525"/>
      <c r="V739" s="523"/>
    </row>
    <row r="740" spans="2:22">
      <c r="B740" s="648" t="s">
        <v>5712</v>
      </c>
      <c r="C740" s="646"/>
      <c r="D740" s="647"/>
      <c r="E740" s="527"/>
      <c r="F740" s="527"/>
      <c r="G740" s="525"/>
      <c r="H740" s="525"/>
      <c r="I740" s="31"/>
      <c r="J740" s="1233"/>
      <c r="K740" s="31"/>
      <c r="L740" s="21"/>
      <c r="M740" s="21"/>
      <c r="N740" s="21"/>
      <c r="O740" s="283"/>
      <c r="P740" s="647"/>
      <c r="Q740" s="1136"/>
      <c r="R740" s="70"/>
      <c r="S740" s="70">
        <v>1500</v>
      </c>
      <c r="T740" s="961"/>
      <c r="U740" s="525"/>
      <c r="V740" s="523"/>
    </row>
    <row r="741" spans="2:22" ht="30">
      <c r="B741" s="646" t="s">
        <v>343</v>
      </c>
      <c r="C741" s="646"/>
      <c r="D741" s="647" t="s">
        <v>3558</v>
      </c>
      <c r="E741" s="527">
        <v>41131</v>
      </c>
      <c r="F741" s="527"/>
      <c r="G741" s="525" t="s">
        <v>3557</v>
      </c>
      <c r="H741" s="525"/>
      <c r="I741" s="31"/>
      <c r="J741" s="1233"/>
      <c r="K741" s="31"/>
      <c r="L741" s="21">
        <v>5000</v>
      </c>
      <c r="M741" s="21"/>
      <c r="N741" s="21">
        <f t="shared" si="233"/>
        <v>5000</v>
      </c>
      <c r="O741" s="283"/>
      <c r="P741" s="647" t="s">
        <v>110</v>
      </c>
      <c r="Q741" s="1136" t="s">
        <v>105</v>
      </c>
      <c r="R741" s="70">
        <v>5000</v>
      </c>
      <c r="S741" s="70">
        <v>5000</v>
      </c>
      <c r="T741" s="961"/>
      <c r="U741" s="525"/>
      <c r="V741" s="523" t="s">
        <v>307</v>
      </c>
    </row>
    <row r="742" spans="2:22" ht="30">
      <c r="B742" s="646" t="s">
        <v>349</v>
      </c>
      <c r="C742" s="646"/>
      <c r="D742" s="647" t="s">
        <v>3559</v>
      </c>
      <c r="E742" s="527">
        <v>41134</v>
      </c>
      <c r="F742" s="527"/>
      <c r="G742" s="525" t="s">
        <v>2207</v>
      </c>
      <c r="H742" s="525"/>
      <c r="I742" s="31"/>
      <c r="J742" s="1233"/>
      <c r="K742" s="31"/>
      <c r="L742" s="21">
        <v>2000</v>
      </c>
      <c r="M742" s="21"/>
      <c r="N742" s="21">
        <f t="shared" si="233"/>
        <v>2000</v>
      </c>
      <c r="O742" s="283"/>
      <c r="P742" s="647" t="s">
        <v>110</v>
      </c>
      <c r="Q742" s="1136" t="s">
        <v>105</v>
      </c>
      <c r="R742" s="70">
        <v>2000</v>
      </c>
      <c r="S742" s="70">
        <v>2000</v>
      </c>
      <c r="T742" s="961"/>
      <c r="U742" s="525"/>
      <c r="V742" s="523" t="s">
        <v>307</v>
      </c>
    </row>
    <row r="743" spans="2:22" ht="30">
      <c r="B743" s="646" t="s">
        <v>311</v>
      </c>
      <c r="C743" s="646"/>
      <c r="D743" s="647" t="s">
        <v>3560</v>
      </c>
      <c r="E743" s="527">
        <v>41134</v>
      </c>
      <c r="F743" s="527"/>
      <c r="G743" s="525" t="s">
        <v>315</v>
      </c>
      <c r="H743" s="525"/>
      <c r="I743" s="31"/>
      <c r="J743" s="1233"/>
      <c r="K743" s="31"/>
      <c r="L743" s="21">
        <v>25500</v>
      </c>
      <c r="M743" s="21"/>
      <c r="N743" s="21">
        <f t="shared" si="233"/>
        <v>25500</v>
      </c>
      <c r="O743" s="283"/>
      <c r="P743" s="647" t="s">
        <v>110</v>
      </c>
      <c r="Q743" s="1136" t="s">
        <v>105</v>
      </c>
      <c r="R743" s="36">
        <f>SUM(R744:R749)</f>
        <v>25500</v>
      </c>
      <c r="S743" s="36">
        <f>SUM(S744:S749)</f>
        <v>25500</v>
      </c>
      <c r="T743" s="961"/>
      <c r="U743" s="525"/>
      <c r="V743" s="523" t="s">
        <v>307</v>
      </c>
    </row>
    <row r="744" spans="2:22">
      <c r="B744" s="648" t="s">
        <v>5439</v>
      </c>
      <c r="C744" s="646"/>
      <c r="D744" s="647"/>
      <c r="E744" s="527"/>
      <c r="F744" s="527"/>
      <c r="G744" s="525"/>
      <c r="H744" s="525"/>
      <c r="I744" s="31"/>
      <c r="J744" s="1233"/>
      <c r="K744" s="31"/>
      <c r="L744" s="794"/>
      <c r="M744" s="21"/>
      <c r="N744" s="21">
        <f t="shared" si="233"/>
        <v>0</v>
      </c>
      <c r="O744" s="283"/>
      <c r="P744" s="647"/>
      <c r="Q744" s="1136"/>
      <c r="R744" s="70">
        <v>7000</v>
      </c>
      <c r="S744" s="70">
        <v>7000</v>
      </c>
      <c r="T744" s="961" t="s">
        <v>5445</v>
      </c>
      <c r="U744" s="525"/>
      <c r="V744" s="523"/>
    </row>
    <row r="745" spans="2:22">
      <c r="B745" s="648" t="s">
        <v>5440</v>
      </c>
      <c r="C745" s="646"/>
      <c r="D745" s="647"/>
      <c r="E745" s="527"/>
      <c r="F745" s="527"/>
      <c r="G745" s="525"/>
      <c r="H745" s="525"/>
      <c r="I745" s="31"/>
      <c r="J745" s="1233"/>
      <c r="K745" s="31"/>
      <c r="L745" s="794"/>
      <c r="M745" s="21"/>
      <c r="N745" s="21">
        <f t="shared" si="233"/>
        <v>0</v>
      </c>
      <c r="O745" s="283"/>
      <c r="P745" s="647"/>
      <c r="Q745" s="1136"/>
      <c r="R745" s="70">
        <v>500</v>
      </c>
      <c r="S745" s="70">
        <v>500</v>
      </c>
      <c r="T745" s="961" t="s">
        <v>5446</v>
      </c>
      <c r="U745" s="525"/>
      <c r="V745" s="523"/>
    </row>
    <row r="746" spans="2:22">
      <c r="B746" s="648" t="s">
        <v>5441</v>
      </c>
      <c r="C746" s="646"/>
      <c r="D746" s="647"/>
      <c r="E746" s="527"/>
      <c r="F746" s="527"/>
      <c r="G746" s="525"/>
      <c r="H746" s="525"/>
      <c r="I746" s="31"/>
      <c r="J746" s="1233"/>
      <c r="K746" s="31"/>
      <c r="L746" s="794"/>
      <c r="M746" s="21"/>
      <c r="N746" s="21">
        <f t="shared" si="233"/>
        <v>0</v>
      </c>
      <c r="O746" s="283"/>
      <c r="P746" s="647"/>
      <c r="Q746" s="1136"/>
      <c r="R746" s="70">
        <v>5000</v>
      </c>
      <c r="S746" s="70">
        <v>5000</v>
      </c>
      <c r="T746" s="961" t="s">
        <v>5447</v>
      </c>
      <c r="U746" s="525"/>
      <c r="V746" s="523"/>
    </row>
    <row r="747" spans="2:22">
      <c r="B747" s="648" t="s">
        <v>5442</v>
      </c>
      <c r="C747" s="646"/>
      <c r="D747" s="647"/>
      <c r="E747" s="527"/>
      <c r="F747" s="527"/>
      <c r="G747" s="525"/>
      <c r="H747" s="525"/>
      <c r="I747" s="31"/>
      <c r="J747" s="1233"/>
      <c r="K747" s="31"/>
      <c r="L747" s="794"/>
      <c r="M747" s="21"/>
      <c r="N747" s="21">
        <f t="shared" si="233"/>
        <v>0</v>
      </c>
      <c r="O747" s="283"/>
      <c r="P747" s="647"/>
      <c r="Q747" s="1136"/>
      <c r="R747" s="70">
        <v>5000</v>
      </c>
      <c r="S747" s="70">
        <v>5000</v>
      </c>
      <c r="T747" s="961" t="s">
        <v>5448</v>
      </c>
      <c r="U747" s="525"/>
      <c r="V747" s="523"/>
    </row>
    <row r="748" spans="2:22">
      <c r="B748" s="648" t="s">
        <v>5443</v>
      </c>
      <c r="C748" s="646"/>
      <c r="D748" s="647"/>
      <c r="E748" s="527"/>
      <c r="F748" s="527"/>
      <c r="G748" s="525"/>
      <c r="H748" s="525"/>
      <c r="I748" s="31"/>
      <c r="J748" s="1233"/>
      <c r="K748" s="31"/>
      <c r="L748" s="794"/>
      <c r="M748" s="21"/>
      <c r="N748" s="21">
        <f t="shared" si="233"/>
        <v>0</v>
      </c>
      <c r="O748" s="283"/>
      <c r="P748" s="647"/>
      <c r="Q748" s="1136"/>
      <c r="R748" s="70">
        <v>5000</v>
      </c>
      <c r="S748" s="70">
        <v>5000</v>
      </c>
      <c r="T748" s="961" t="s">
        <v>5449</v>
      </c>
      <c r="U748" s="525"/>
      <c r="V748" s="523"/>
    </row>
    <row r="749" spans="2:22">
      <c r="B749" s="648" t="s">
        <v>5444</v>
      </c>
      <c r="C749" s="646"/>
      <c r="D749" s="647"/>
      <c r="E749" s="527"/>
      <c r="F749" s="527"/>
      <c r="G749" s="525"/>
      <c r="H749" s="525"/>
      <c r="I749" s="31"/>
      <c r="J749" s="1233"/>
      <c r="K749" s="31"/>
      <c r="L749" s="794"/>
      <c r="M749" s="21"/>
      <c r="N749" s="21">
        <f t="shared" si="233"/>
        <v>0</v>
      </c>
      <c r="O749" s="283"/>
      <c r="P749" s="647"/>
      <c r="Q749" s="1136"/>
      <c r="R749" s="70">
        <v>3000</v>
      </c>
      <c r="S749" s="70">
        <v>3000</v>
      </c>
      <c r="T749" s="961" t="s">
        <v>5450</v>
      </c>
      <c r="U749" s="525"/>
      <c r="V749" s="523"/>
    </row>
    <row r="750" spans="2:22" ht="30">
      <c r="B750" s="646" t="s">
        <v>331</v>
      </c>
      <c r="C750" s="646"/>
      <c r="D750" s="647" t="s">
        <v>3561</v>
      </c>
      <c r="E750" s="527">
        <v>41134</v>
      </c>
      <c r="F750" s="527"/>
      <c r="G750" s="525" t="s">
        <v>315</v>
      </c>
      <c r="H750" s="525"/>
      <c r="I750" s="31"/>
      <c r="J750" s="1233"/>
      <c r="K750" s="31"/>
      <c r="L750" s="21">
        <v>9500</v>
      </c>
      <c r="M750" s="21"/>
      <c r="N750" s="21">
        <f t="shared" si="233"/>
        <v>9500</v>
      </c>
      <c r="O750" s="283"/>
      <c r="P750" s="647" t="s">
        <v>110</v>
      </c>
      <c r="Q750" s="1136" t="s">
        <v>105</v>
      </c>
      <c r="R750" s="70">
        <v>9500</v>
      </c>
      <c r="S750" s="70">
        <v>9500</v>
      </c>
      <c r="T750" s="961"/>
      <c r="U750" s="525"/>
      <c r="V750" s="523" t="s">
        <v>307</v>
      </c>
    </row>
    <row r="751" spans="2:22" ht="30">
      <c r="B751" s="646" t="s">
        <v>321</v>
      </c>
      <c r="C751" s="646"/>
      <c r="D751" s="647" t="s">
        <v>3563</v>
      </c>
      <c r="E751" s="527">
        <v>41134</v>
      </c>
      <c r="F751" s="527"/>
      <c r="G751" s="525" t="s">
        <v>3562</v>
      </c>
      <c r="H751" s="525"/>
      <c r="I751" s="31"/>
      <c r="J751" s="1233"/>
      <c r="K751" s="31"/>
      <c r="L751" s="21">
        <v>48000</v>
      </c>
      <c r="M751" s="21"/>
      <c r="N751" s="21">
        <f t="shared" si="233"/>
        <v>48000</v>
      </c>
      <c r="O751" s="283"/>
      <c r="P751" s="647" t="s">
        <v>110</v>
      </c>
      <c r="Q751" s="1136" t="s">
        <v>105</v>
      </c>
      <c r="R751" s="70">
        <v>48000</v>
      </c>
      <c r="S751" s="70">
        <v>48000</v>
      </c>
      <c r="T751" s="961"/>
      <c r="U751" s="525"/>
      <c r="V751" s="523" t="s">
        <v>307</v>
      </c>
    </row>
    <row r="752" spans="2:22" ht="30">
      <c r="B752" s="646" t="s">
        <v>321</v>
      </c>
      <c r="C752" s="646"/>
      <c r="D752" s="647" t="s">
        <v>3564</v>
      </c>
      <c r="E752" s="527">
        <v>41134</v>
      </c>
      <c r="F752" s="527"/>
      <c r="G752" s="525" t="s">
        <v>3562</v>
      </c>
      <c r="H752" s="525"/>
      <c r="I752" s="31"/>
      <c r="J752" s="1233"/>
      <c r="K752" s="31"/>
      <c r="L752" s="21">
        <f>285137607/1000</f>
        <v>285137.60700000002</v>
      </c>
      <c r="M752" s="21"/>
      <c r="N752" s="21">
        <f t="shared" si="233"/>
        <v>285137.60700000002</v>
      </c>
      <c r="O752" s="283"/>
      <c r="P752" s="647" t="s">
        <v>110</v>
      </c>
      <c r="Q752" s="1136" t="s">
        <v>105</v>
      </c>
      <c r="R752" s="70">
        <v>285138</v>
      </c>
      <c r="S752" s="70">
        <v>285138</v>
      </c>
      <c r="T752" s="961"/>
      <c r="U752" s="525"/>
      <c r="V752" s="523" t="s">
        <v>307</v>
      </c>
    </row>
    <row r="753" spans="2:22" ht="30">
      <c r="B753" s="646" t="s">
        <v>321</v>
      </c>
      <c r="C753" s="646"/>
      <c r="D753" s="647" t="s">
        <v>3565</v>
      </c>
      <c r="E753" s="527">
        <v>41134</v>
      </c>
      <c r="F753" s="527"/>
      <c r="G753" s="525" t="s">
        <v>2621</v>
      </c>
      <c r="H753" s="525"/>
      <c r="I753" s="31"/>
      <c r="J753" s="1233"/>
      <c r="K753" s="31"/>
      <c r="L753" s="21">
        <v>40850</v>
      </c>
      <c r="M753" s="21"/>
      <c r="N753" s="21">
        <f t="shared" si="233"/>
        <v>40850</v>
      </c>
      <c r="O753" s="283"/>
      <c r="P753" s="647" t="s">
        <v>110</v>
      </c>
      <c r="Q753" s="1136" t="s">
        <v>105</v>
      </c>
      <c r="R753" s="70">
        <v>40850</v>
      </c>
      <c r="S753" s="70">
        <v>40850</v>
      </c>
      <c r="T753" s="961"/>
      <c r="U753" s="525"/>
      <c r="V753" s="523" t="s">
        <v>307</v>
      </c>
    </row>
    <row r="754" spans="2:22" ht="30">
      <c r="B754" s="646" t="s">
        <v>311</v>
      </c>
      <c r="C754" s="646"/>
      <c r="D754" s="647" t="s">
        <v>3566</v>
      </c>
      <c r="E754" s="527">
        <v>41145</v>
      </c>
      <c r="F754" s="527"/>
      <c r="G754" s="525" t="s">
        <v>372</v>
      </c>
      <c r="H754" s="525"/>
      <c r="I754" s="31"/>
      <c r="J754" s="1233"/>
      <c r="K754" s="31"/>
      <c r="L754" s="21">
        <v>300</v>
      </c>
      <c r="M754" s="21"/>
      <c r="N754" s="21">
        <f t="shared" si="233"/>
        <v>300</v>
      </c>
      <c r="O754" s="283"/>
      <c r="P754" s="647" t="s">
        <v>110</v>
      </c>
      <c r="Q754" s="1136" t="s">
        <v>105</v>
      </c>
      <c r="R754" s="70">
        <v>300</v>
      </c>
      <c r="S754" s="70">
        <v>300</v>
      </c>
      <c r="T754" s="961"/>
      <c r="U754" s="525"/>
      <c r="V754" s="523" t="s">
        <v>307</v>
      </c>
    </row>
    <row r="755" spans="2:22" ht="30">
      <c r="B755" s="646" t="s">
        <v>308</v>
      </c>
      <c r="C755" s="646"/>
      <c r="D755" s="647" t="s">
        <v>3567</v>
      </c>
      <c r="E755" s="527">
        <v>41145</v>
      </c>
      <c r="F755" s="527"/>
      <c r="G755" s="525" t="s">
        <v>315</v>
      </c>
      <c r="H755" s="525"/>
      <c r="I755" s="31"/>
      <c r="J755" s="1233"/>
      <c r="K755" s="31"/>
      <c r="L755" s="21">
        <v>30000</v>
      </c>
      <c r="M755" s="21"/>
      <c r="N755" s="21">
        <f t="shared" si="233"/>
        <v>30000</v>
      </c>
      <c r="O755" s="283"/>
      <c r="P755" s="647" t="s">
        <v>110</v>
      </c>
      <c r="Q755" s="1136" t="s">
        <v>105</v>
      </c>
      <c r="R755" s="70"/>
      <c r="S755" s="70"/>
      <c r="T755" s="961"/>
      <c r="U755" s="525"/>
      <c r="V755" s="523" t="s">
        <v>307</v>
      </c>
    </row>
    <row r="756" spans="2:22" ht="90">
      <c r="B756" s="650" t="s">
        <v>3568</v>
      </c>
      <c r="C756" s="648"/>
      <c r="D756" s="649"/>
      <c r="E756" s="444"/>
      <c r="F756" s="444"/>
      <c r="G756" s="42"/>
      <c r="H756" s="42"/>
      <c r="L756" s="283"/>
      <c r="M756" s="283"/>
      <c r="N756" s="283"/>
      <c r="O756" s="283"/>
      <c r="P756" s="525"/>
      <c r="Q756" s="21"/>
      <c r="R756" s="70">
        <v>10000</v>
      </c>
      <c r="S756" s="70">
        <v>10000</v>
      </c>
      <c r="T756" s="961" t="s">
        <v>4646</v>
      </c>
      <c r="U756" s="42"/>
      <c r="V756" s="288"/>
    </row>
    <row r="757" spans="2:22" ht="90">
      <c r="B757" s="650" t="s">
        <v>3569</v>
      </c>
      <c r="C757" s="648"/>
      <c r="D757" s="649"/>
      <c r="E757" s="444"/>
      <c r="F757" s="444"/>
      <c r="G757" s="42"/>
      <c r="H757" s="42"/>
      <c r="L757" s="283"/>
      <c r="M757" s="283"/>
      <c r="N757" s="283"/>
      <c r="O757" s="283"/>
      <c r="P757" s="525"/>
      <c r="Q757" s="21"/>
      <c r="R757" s="70">
        <v>10000</v>
      </c>
      <c r="S757" s="70">
        <v>10000</v>
      </c>
      <c r="T757" s="961" t="s">
        <v>4646</v>
      </c>
      <c r="U757" s="42"/>
      <c r="V757" s="288"/>
    </row>
    <row r="758" spans="2:22" ht="90">
      <c r="B758" s="650" t="s">
        <v>3570</v>
      </c>
      <c r="C758" s="648"/>
      <c r="D758" s="649"/>
      <c r="E758" s="444"/>
      <c r="F758" s="444"/>
      <c r="G758" s="42"/>
      <c r="H758" s="42"/>
      <c r="L758" s="283"/>
      <c r="M758" s="283"/>
      <c r="N758" s="283"/>
      <c r="O758" s="283"/>
      <c r="P758" s="525"/>
      <c r="Q758" s="21"/>
      <c r="R758" s="70">
        <v>10000</v>
      </c>
      <c r="S758" s="70">
        <v>10000</v>
      </c>
      <c r="T758" s="961" t="s">
        <v>4646</v>
      </c>
      <c r="U758" s="42"/>
      <c r="V758" s="288"/>
    </row>
    <row r="759" spans="2:22" ht="30">
      <c r="B759" s="646" t="s">
        <v>304</v>
      </c>
      <c r="C759" s="646"/>
      <c r="D759" s="647" t="s">
        <v>3572</v>
      </c>
      <c r="E759" s="527">
        <v>41145</v>
      </c>
      <c r="F759" s="527"/>
      <c r="G759" s="525" t="s">
        <v>3571</v>
      </c>
      <c r="H759" s="525"/>
      <c r="I759" s="31"/>
      <c r="J759" s="1233"/>
      <c r="K759" s="31"/>
      <c r="L759" s="21">
        <v>10000</v>
      </c>
      <c r="M759" s="21"/>
      <c r="N759" s="21">
        <f t="shared" si="233"/>
        <v>10000</v>
      </c>
      <c r="O759" s="283"/>
      <c r="P759" s="647" t="s">
        <v>110</v>
      </c>
      <c r="Q759" s="1136" t="s">
        <v>105</v>
      </c>
      <c r="R759" s="70">
        <v>10000</v>
      </c>
      <c r="S759" s="70">
        <v>10000</v>
      </c>
      <c r="T759" s="961"/>
      <c r="U759" s="525"/>
      <c r="V759" s="523" t="s">
        <v>307</v>
      </c>
    </row>
    <row r="760" spans="2:22" ht="30">
      <c r="B760" s="646" t="s">
        <v>349</v>
      </c>
      <c r="C760" s="646"/>
      <c r="D760" s="647" t="s">
        <v>3573</v>
      </c>
      <c r="E760" s="527">
        <v>41145</v>
      </c>
      <c r="F760" s="527"/>
      <c r="G760" s="525" t="s">
        <v>2212</v>
      </c>
      <c r="H760" s="525"/>
      <c r="I760" s="31"/>
      <c r="J760" s="1233"/>
      <c r="K760" s="31"/>
      <c r="L760" s="21">
        <v>10000</v>
      </c>
      <c r="M760" s="21"/>
      <c r="N760" s="21">
        <f t="shared" si="233"/>
        <v>10000</v>
      </c>
      <c r="O760" s="283"/>
      <c r="P760" s="647" t="s">
        <v>110</v>
      </c>
      <c r="Q760" s="1136" t="s">
        <v>105</v>
      </c>
      <c r="R760" s="70">
        <v>10000</v>
      </c>
      <c r="S760" s="70">
        <v>10000</v>
      </c>
      <c r="T760" s="961"/>
      <c r="U760" s="525"/>
      <c r="V760" s="523" t="s">
        <v>307</v>
      </c>
    </row>
    <row r="761" spans="2:22" ht="30">
      <c r="B761" s="646" t="s">
        <v>308</v>
      </c>
      <c r="C761" s="646"/>
      <c r="D761" s="647" t="s">
        <v>3574</v>
      </c>
      <c r="E761" s="527">
        <v>41149</v>
      </c>
      <c r="F761" s="527"/>
      <c r="G761" s="525" t="s">
        <v>315</v>
      </c>
      <c r="H761" s="525"/>
      <c r="I761" s="31"/>
      <c r="J761" s="1233"/>
      <c r="K761" s="31"/>
      <c r="L761" s="21">
        <v>33000</v>
      </c>
      <c r="M761" s="21"/>
      <c r="N761" s="21">
        <f t="shared" si="233"/>
        <v>33000</v>
      </c>
      <c r="O761" s="283"/>
      <c r="P761" s="647" t="s">
        <v>110</v>
      </c>
      <c r="Q761" s="1136" t="s">
        <v>105</v>
      </c>
      <c r="R761" s="70"/>
      <c r="S761" s="70"/>
      <c r="T761" s="961"/>
      <c r="U761" s="525"/>
      <c r="V761" s="523" t="s">
        <v>307</v>
      </c>
    </row>
    <row r="762" spans="2:22" ht="90">
      <c r="B762" s="650" t="s">
        <v>3575</v>
      </c>
      <c r="C762" s="650"/>
      <c r="D762" s="649"/>
      <c r="E762" s="444"/>
      <c r="F762" s="444"/>
      <c r="G762" s="42"/>
      <c r="H762" s="42"/>
      <c r="L762" s="283"/>
      <c r="M762" s="283"/>
      <c r="N762" s="283"/>
      <c r="O762" s="283"/>
      <c r="P762" s="525"/>
      <c r="Q762" s="21"/>
      <c r="R762" s="1015">
        <v>500</v>
      </c>
      <c r="S762" s="1015">
        <v>500</v>
      </c>
      <c r="T762" s="961" t="s">
        <v>4646</v>
      </c>
      <c r="U762" s="42"/>
      <c r="V762" s="288"/>
    </row>
    <row r="763" spans="2:22" ht="90">
      <c r="B763" s="650" t="s">
        <v>3576</v>
      </c>
      <c r="C763" s="648"/>
      <c r="D763" s="649"/>
      <c r="E763" s="444"/>
      <c r="F763" s="444"/>
      <c r="G763" s="42"/>
      <c r="H763" s="42"/>
      <c r="L763" s="283"/>
      <c r="M763" s="283"/>
      <c r="N763" s="283"/>
      <c r="O763" s="283"/>
      <c r="P763" s="525"/>
      <c r="Q763" s="21"/>
      <c r="R763" s="1015">
        <v>500</v>
      </c>
      <c r="S763" s="1015">
        <v>500</v>
      </c>
      <c r="T763" s="961" t="s">
        <v>4646</v>
      </c>
      <c r="U763" s="42"/>
      <c r="V763" s="288"/>
    </row>
    <row r="764" spans="2:22" ht="30">
      <c r="B764" s="650" t="s">
        <v>3577</v>
      </c>
      <c r="C764" s="648"/>
      <c r="D764" s="649"/>
      <c r="E764" s="444"/>
      <c r="F764" s="444"/>
      <c r="G764" s="42"/>
      <c r="H764" s="42"/>
      <c r="L764" s="283"/>
      <c r="M764" s="283"/>
      <c r="N764" s="283"/>
      <c r="O764" s="283"/>
      <c r="P764" s="525"/>
      <c r="Q764" s="21"/>
      <c r="R764" s="1015">
        <v>500</v>
      </c>
      <c r="S764" s="1015">
        <v>500</v>
      </c>
      <c r="T764" s="961" t="s">
        <v>4649</v>
      </c>
      <c r="U764" s="42"/>
      <c r="V764" s="288"/>
    </row>
    <row r="765" spans="2:22" ht="90">
      <c r="B765" s="650" t="s">
        <v>3578</v>
      </c>
      <c r="C765" s="648"/>
      <c r="D765" s="649"/>
      <c r="E765" s="444"/>
      <c r="F765" s="444"/>
      <c r="G765" s="42"/>
      <c r="H765" s="42"/>
      <c r="L765" s="283"/>
      <c r="M765" s="283"/>
      <c r="N765" s="283"/>
      <c r="O765" s="283"/>
      <c r="P765" s="525"/>
      <c r="Q765" s="21"/>
      <c r="R765" s="1015">
        <v>500</v>
      </c>
      <c r="S765" s="1015">
        <v>500</v>
      </c>
      <c r="T765" s="961" t="s">
        <v>4646</v>
      </c>
      <c r="U765" s="42"/>
      <c r="V765" s="288"/>
    </row>
    <row r="766" spans="2:22" ht="90">
      <c r="B766" s="650" t="s">
        <v>3579</v>
      </c>
      <c r="C766" s="648"/>
      <c r="D766" s="649"/>
      <c r="E766" s="444"/>
      <c r="F766" s="444"/>
      <c r="G766" s="42"/>
      <c r="H766" s="42"/>
      <c r="L766" s="283"/>
      <c r="M766" s="283"/>
      <c r="N766" s="283"/>
      <c r="O766" s="283"/>
      <c r="P766" s="525"/>
      <c r="Q766" s="21"/>
      <c r="R766" s="1015">
        <v>500</v>
      </c>
      <c r="S766" s="1015">
        <v>500</v>
      </c>
      <c r="T766" s="961" t="s">
        <v>4646</v>
      </c>
      <c r="U766" s="42"/>
      <c r="V766" s="288"/>
    </row>
    <row r="767" spans="2:22" ht="90">
      <c r="B767" s="650" t="s">
        <v>3580</v>
      </c>
      <c r="C767" s="648"/>
      <c r="D767" s="649"/>
      <c r="E767" s="444"/>
      <c r="F767" s="444"/>
      <c r="G767" s="42"/>
      <c r="H767" s="42"/>
      <c r="L767" s="283"/>
      <c r="M767" s="283"/>
      <c r="N767" s="283"/>
      <c r="O767" s="283"/>
      <c r="P767" s="525"/>
      <c r="Q767" s="21"/>
      <c r="R767" s="1015">
        <v>500</v>
      </c>
      <c r="S767" s="1015">
        <v>500</v>
      </c>
      <c r="T767" s="961" t="s">
        <v>4646</v>
      </c>
      <c r="U767" s="42"/>
      <c r="V767" s="288"/>
    </row>
    <row r="768" spans="2:22" ht="90">
      <c r="B768" s="650" t="s">
        <v>3581</v>
      </c>
      <c r="C768" s="648"/>
      <c r="D768" s="649"/>
      <c r="E768" s="444"/>
      <c r="F768" s="444"/>
      <c r="G768" s="42"/>
      <c r="H768" s="42"/>
      <c r="L768" s="283"/>
      <c r="M768" s="283"/>
      <c r="N768" s="283"/>
      <c r="O768" s="283"/>
      <c r="P768" s="525"/>
      <c r="Q768" s="21"/>
      <c r="R768" s="1015">
        <v>500</v>
      </c>
      <c r="S768" s="1015">
        <v>500</v>
      </c>
      <c r="T768" s="961" t="s">
        <v>4646</v>
      </c>
      <c r="U768" s="42"/>
      <c r="V768" s="288"/>
    </row>
    <row r="769" spans="2:22" ht="90">
      <c r="B769" s="650" t="s">
        <v>309</v>
      </c>
      <c r="C769" s="648"/>
      <c r="D769" s="649"/>
      <c r="E769" s="444"/>
      <c r="F769" s="444"/>
      <c r="G769" s="42"/>
      <c r="H769" s="42"/>
      <c r="L769" s="283"/>
      <c r="M769" s="283"/>
      <c r="N769" s="283"/>
      <c r="O769" s="283"/>
      <c r="P769" s="525"/>
      <c r="Q769" s="21"/>
      <c r="R769" s="1015">
        <v>500</v>
      </c>
      <c r="S769" s="1015">
        <v>500</v>
      </c>
      <c r="T769" s="961" t="s">
        <v>4646</v>
      </c>
      <c r="U769" s="42"/>
      <c r="V769" s="288"/>
    </row>
    <row r="770" spans="2:22" ht="90">
      <c r="B770" s="650" t="s">
        <v>3582</v>
      </c>
      <c r="C770" s="648"/>
      <c r="D770" s="649"/>
      <c r="E770" s="444"/>
      <c r="F770" s="444"/>
      <c r="G770" s="42"/>
      <c r="H770" s="42"/>
      <c r="L770" s="283"/>
      <c r="M770" s="283"/>
      <c r="N770" s="283"/>
      <c r="O770" s="283"/>
      <c r="P770" s="525"/>
      <c r="Q770" s="21"/>
      <c r="R770" s="1015">
        <v>500</v>
      </c>
      <c r="S770" s="1015">
        <v>500</v>
      </c>
      <c r="T770" s="961" t="s">
        <v>4646</v>
      </c>
      <c r="U770" s="42"/>
      <c r="V770" s="288"/>
    </row>
    <row r="771" spans="2:22" ht="90">
      <c r="B771" s="650" t="s">
        <v>3583</v>
      </c>
      <c r="C771" s="648"/>
      <c r="D771" s="649"/>
      <c r="E771" s="444"/>
      <c r="F771" s="444"/>
      <c r="G771" s="42"/>
      <c r="H771" s="42"/>
      <c r="L771" s="283"/>
      <c r="M771" s="283"/>
      <c r="N771" s="283"/>
      <c r="O771" s="283"/>
      <c r="P771" s="525"/>
      <c r="Q771" s="21"/>
      <c r="R771" s="1015">
        <v>500</v>
      </c>
      <c r="S771" s="1015">
        <v>500</v>
      </c>
      <c r="T771" s="961" t="s">
        <v>4646</v>
      </c>
      <c r="U771" s="42"/>
      <c r="V771" s="288"/>
    </row>
    <row r="772" spans="2:22" ht="90">
      <c r="B772" s="650" t="s">
        <v>3584</v>
      </c>
      <c r="C772" s="648"/>
      <c r="D772" s="649"/>
      <c r="E772" s="444"/>
      <c r="F772" s="444"/>
      <c r="G772" s="42"/>
      <c r="H772" s="42"/>
      <c r="L772" s="283"/>
      <c r="M772" s="283"/>
      <c r="N772" s="283"/>
      <c r="O772" s="283"/>
      <c r="P772" s="525"/>
      <c r="Q772" s="21"/>
      <c r="R772" s="1015">
        <v>500</v>
      </c>
      <c r="S772" s="1015">
        <v>500</v>
      </c>
      <c r="T772" s="961" t="s">
        <v>4646</v>
      </c>
      <c r="U772" s="42"/>
      <c r="V772" s="288"/>
    </row>
    <row r="773" spans="2:22" ht="90">
      <c r="B773" s="650" t="s">
        <v>3585</v>
      </c>
      <c r="C773" s="648"/>
      <c r="D773" s="649"/>
      <c r="E773" s="444"/>
      <c r="F773" s="444"/>
      <c r="G773" s="42"/>
      <c r="H773" s="42"/>
      <c r="L773" s="283"/>
      <c r="M773" s="283"/>
      <c r="N773" s="283"/>
      <c r="O773" s="283"/>
      <c r="P773" s="525"/>
      <c r="Q773" s="21"/>
      <c r="R773" s="1015">
        <v>500</v>
      </c>
      <c r="S773" s="1015">
        <v>500</v>
      </c>
      <c r="T773" s="961" t="s">
        <v>4646</v>
      </c>
      <c r="U773" s="42"/>
      <c r="V773" s="288"/>
    </row>
    <row r="774" spans="2:22" ht="90">
      <c r="B774" s="650" t="s">
        <v>3586</v>
      </c>
      <c r="C774" s="648"/>
      <c r="D774" s="649"/>
      <c r="E774" s="444"/>
      <c r="F774" s="444"/>
      <c r="G774" s="42"/>
      <c r="H774" s="42"/>
      <c r="L774" s="283"/>
      <c r="M774" s="283"/>
      <c r="N774" s="283"/>
      <c r="O774" s="283"/>
      <c r="P774" s="525"/>
      <c r="Q774" s="21"/>
      <c r="R774" s="1015">
        <v>500</v>
      </c>
      <c r="S774" s="1015">
        <v>500</v>
      </c>
      <c r="T774" s="961" t="s">
        <v>4646</v>
      </c>
      <c r="U774" s="42"/>
      <c r="V774" s="288"/>
    </row>
    <row r="775" spans="2:22" ht="90">
      <c r="B775" s="650" t="s">
        <v>3587</v>
      </c>
      <c r="C775" s="648"/>
      <c r="D775" s="649"/>
      <c r="E775" s="444"/>
      <c r="F775" s="444"/>
      <c r="G775" s="42"/>
      <c r="H775" s="42"/>
      <c r="L775" s="283"/>
      <c r="M775" s="283"/>
      <c r="N775" s="283"/>
      <c r="O775" s="283"/>
      <c r="P775" s="525"/>
      <c r="Q775" s="21"/>
      <c r="R775" s="1015">
        <v>500</v>
      </c>
      <c r="S775" s="1015">
        <v>500</v>
      </c>
      <c r="T775" s="961" t="s">
        <v>4646</v>
      </c>
      <c r="U775" s="42"/>
      <c r="V775" s="288"/>
    </row>
    <row r="776" spans="2:22" ht="90">
      <c r="B776" s="650" t="s">
        <v>3588</v>
      </c>
      <c r="C776" s="648"/>
      <c r="D776" s="649"/>
      <c r="E776" s="444"/>
      <c r="F776" s="444"/>
      <c r="G776" s="42"/>
      <c r="H776" s="42"/>
      <c r="L776" s="283"/>
      <c r="M776" s="283"/>
      <c r="N776" s="283"/>
      <c r="O776" s="283"/>
      <c r="P776" s="525"/>
      <c r="Q776" s="21"/>
      <c r="R776" s="1015">
        <v>500</v>
      </c>
      <c r="S776" s="1015">
        <v>500</v>
      </c>
      <c r="T776" s="961" t="s">
        <v>4646</v>
      </c>
      <c r="U776" s="42"/>
      <c r="V776" s="288"/>
    </row>
    <row r="777" spans="2:22" ht="90">
      <c r="B777" s="650" t="s">
        <v>3589</v>
      </c>
      <c r="C777" s="648"/>
      <c r="D777" s="649"/>
      <c r="E777" s="444"/>
      <c r="F777" s="444"/>
      <c r="G777" s="42"/>
      <c r="H777" s="42"/>
      <c r="L777" s="283"/>
      <c r="M777" s="283"/>
      <c r="N777" s="283"/>
      <c r="O777" s="283"/>
      <c r="P777" s="525"/>
      <c r="Q777" s="21"/>
      <c r="R777" s="1015">
        <v>500</v>
      </c>
      <c r="S777" s="1015">
        <v>500</v>
      </c>
      <c r="T777" s="961" t="s">
        <v>4646</v>
      </c>
      <c r="U777" s="42"/>
      <c r="V777" s="288"/>
    </row>
    <row r="778" spans="2:22" ht="90">
      <c r="B778" s="650" t="s">
        <v>3590</v>
      </c>
      <c r="C778" s="648"/>
      <c r="D778" s="649"/>
      <c r="E778" s="444"/>
      <c r="F778" s="444"/>
      <c r="G778" s="42"/>
      <c r="H778" s="42"/>
      <c r="L778" s="283"/>
      <c r="M778" s="283"/>
      <c r="N778" s="283"/>
      <c r="O778" s="283"/>
      <c r="P778" s="525"/>
      <c r="Q778" s="21"/>
      <c r="R778" s="1015">
        <v>500</v>
      </c>
      <c r="S778" s="1015">
        <v>500</v>
      </c>
      <c r="T778" s="961" t="s">
        <v>4646</v>
      </c>
      <c r="U778" s="42"/>
      <c r="V778" s="288"/>
    </row>
    <row r="779" spans="2:22" ht="90">
      <c r="B779" s="650" t="s">
        <v>3591</v>
      </c>
      <c r="C779" s="648"/>
      <c r="D779" s="649"/>
      <c r="E779" s="444"/>
      <c r="F779" s="444"/>
      <c r="G779" s="42"/>
      <c r="H779" s="42"/>
      <c r="L779" s="283"/>
      <c r="M779" s="283"/>
      <c r="N779" s="283"/>
      <c r="O779" s="283"/>
      <c r="P779" s="525"/>
      <c r="Q779" s="21"/>
      <c r="R779" s="1015">
        <v>500</v>
      </c>
      <c r="S779" s="1015">
        <v>500</v>
      </c>
      <c r="T779" s="961" t="s">
        <v>4646</v>
      </c>
      <c r="U779" s="42"/>
      <c r="V779" s="288"/>
    </row>
    <row r="780" spans="2:22" ht="90">
      <c r="B780" s="650" t="s">
        <v>3592</v>
      </c>
      <c r="C780" s="648"/>
      <c r="D780" s="649"/>
      <c r="E780" s="444"/>
      <c r="F780" s="444"/>
      <c r="G780" s="42"/>
      <c r="H780" s="42"/>
      <c r="L780" s="283"/>
      <c r="M780" s="283"/>
      <c r="N780" s="283"/>
      <c r="O780" s="283"/>
      <c r="P780" s="525"/>
      <c r="Q780" s="21"/>
      <c r="R780" s="1015">
        <v>500</v>
      </c>
      <c r="S780" s="1015">
        <v>500</v>
      </c>
      <c r="T780" s="961" t="s">
        <v>4646</v>
      </c>
      <c r="U780" s="42"/>
      <c r="V780" s="288"/>
    </row>
    <row r="781" spans="2:22" ht="90">
      <c r="B781" s="650" t="s">
        <v>3593</v>
      </c>
      <c r="C781" s="648"/>
      <c r="D781" s="649"/>
      <c r="E781" s="444"/>
      <c r="F781" s="444"/>
      <c r="G781" s="42"/>
      <c r="H781" s="42"/>
      <c r="L781" s="283"/>
      <c r="M781" s="283"/>
      <c r="N781" s="283"/>
      <c r="O781" s="283"/>
      <c r="P781" s="525"/>
      <c r="Q781" s="21"/>
      <c r="R781" s="1015">
        <v>500</v>
      </c>
      <c r="S781" s="1015">
        <v>500</v>
      </c>
      <c r="T781" s="961" t="s">
        <v>4646</v>
      </c>
      <c r="U781" s="42"/>
      <c r="V781" s="288"/>
    </row>
    <row r="782" spans="2:22" ht="90">
      <c r="B782" s="650" t="s">
        <v>3594</v>
      </c>
      <c r="C782" s="648"/>
      <c r="D782" s="649"/>
      <c r="E782" s="444"/>
      <c r="F782" s="444"/>
      <c r="G782" s="42"/>
      <c r="H782" s="42"/>
      <c r="L782" s="283"/>
      <c r="M782" s="283"/>
      <c r="N782" s="283"/>
      <c r="O782" s="283"/>
      <c r="P782" s="525"/>
      <c r="Q782" s="21"/>
      <c r="R782" s="1015">
        <v>500</v>
      </c>
      <c r="S782" s="1015">
        <v>500</v>
      </c>
      <c r="T782" s="961" t="s">
        <v>4646</v>
      </c>
      <c r="U782" s="42"/>
      <c r="V782" s="288"/>
    </row>
    <row r="783" spans="2:22" ht="90">
      <c r="B783" s="650" t="s">
        <v>3595</v>
      </c>
      <c r="C783" s="648"/>
      <c r="D783" s="649"/>
      <c r="E783" s="444"/>
      <c r="F783" s="444"/>
      <c r="G783" s="42"/>
      <c r="H783" s="42"/>
      <c r="L783" s="283"/>
      <c r="M783" s="283"/>
      <c r="N783" s="283"/>
      <c r="O783" s="283"/>
      <c r="P783" s="525"/>
      <c r="Q783" s="21"/>
      <c r="R783" s="1015">
        <v>500</v>
      </c>
      <c r="S783" s="1015">
        <v>500</v>
      </c>
      <c r="T783" s="961" t="s">
        <v>4646</v>
      </c>
      <c r="U783" s="42"/>
      <c r="V783" s="288"/>
    </row>
    <row r="784" spans="2:22" ht="90">
      <c r="B784" s="650" t="s">
        <v>3596</v>
      </c>
      <c r="C784" s="648"/>
      <c r="D784" s="649"/>
      <c r="E784" s="444"/>
      <c r="F784" s="444"/>
      <c r="G784" s="42"/>
      <c r="H784" s="42"/>
      <c r="L784" s="283"/>
      <c r="M784" s="283"/>
      <c r="N784" s="283"/>
      <c r="O784" s="283"/>
      <c r="P784" s="525"/>
      <c r="Q784" s="21"/>
      <c r="R784" s="1015">
        <v>500</v>
      </c>
      <c r="S784" s="1015">
        <v>500</v>
      </c>
      <c r="T784" s="961" t="s">
        <v>4646</v>
      </c>
      <c r="U784" s="42"/>
      <c r="V784" s="288"/>
    </row>
    <row r="785" spans="2:22" ht="90">
      <c r="B785" s="650" t="s">
        <v>3597</v>
      </c>
      <c r="C785" s="648"/>
      <c r="D785" s="649"/>
      <c r="E785" s="444"/>
      <c r="F785" s="444"/>
      <c r="G785" s="42"/>
      <c r="H785" s="42"/>
      <c r="L785" s="283"/>
      <c r="M785" s="283"/>
      <c r="N785" s="283"/>
      <c r="O785" s="283"/>
      <c r="P785" s="525"/>
      <c r="Q785" s="21"/>
      <c r="R785" s="1015">
        <v>500</v>
      </c>
      <c r="S785" s="1015">
        <v>500</v>
      </c>
      <c r="T785" s="961" t="s">
        <v>4646</v>
      </c>
      <c r="U785" s="42"/>
      <c r="V785" s="288"/>
    </row>
    <row r="786" spans="2:22" ht="90">
      <c r="B786" s="650" t="s">
        <v>3598</v>
      </c>
      <c r="C786" s="648"/>
      <c r="D786" s="649"/>
      <c r="E786" s="444"/>
      <c r="F786" s="444"/>
      <c r="G786" s="42"/>
      <c r="H786" s="42"/>
      <c r="L786" s="283"/>
      <c r="M786" s="283"/>
      <c r="N786" s="283"/>
      <c r="O786" s="283"/>
      <c r="P786" s="525"/>
      <c r="Q786" s="21"/>
      <c r="R786" s="1015">
        <v>500</v>
      </c>
      <c r="S786" s="1015">
        <v>500</v>
      </c>
      <c r="T786" s="961" t="s">
        <v>4646</v>
      </c>
      <c r="U786" s="42"/>
      <c r="V786" s="288"/>
    </row>
    <row r="787" spans="2:22" ht="90">
      <c r="B787" s="650" t="s">
        <v>3599</v>
      </c>
      <c r="C787" s="648"/>
      <c r="D787" s="649"/>
      <c r="E787" s="444"/>
      <c r="F787" s="444"/>
      <c r="G787" s="42"/>
      <c r="H787" s="42"/>
      <c r="L787" s="283"/>
      <c r="M787" s="283"/>
      <c r="N787" s="283"/>
      <c r="O787" s="283"/>
      <c r="P787" s="525"/>
      <c r="Q787" s="21"/>
      <c r="R787" s="1015">
        <v>500</v>
      </c>
      <c r="S787" s="1015">
        <v>500</v>
      </c>
      <c r="T787" s="961" t="s">
        <v>4646</v>
      </c>
      <c r="U787" s="42"/>
      <c r="V787" s="288"/>
    </row>
    <row r="788" spans="2:22" ht="90">
      <c r="B788" s="650" t="s">
        <v>3600</v>
      </c>
      <c r="C788" s="648"/>
      <c r="D788" s="649"/>
      <c r="E788" s="444"/>
      <c r="F788" s="444"/>
      <c r="G788" s="42"/>
      <c r="H788" s="42"/>
      <c r="L788" s="283"/>
      <c r="M788" s="283"/>
      <c r="N788" s="283"/>
      <c r="O788" s="283"/>
      <c r="P788" s="525"/>
      <c r="Q788" s="21"/>
      <c r="R788" s="1015">
        <v>500</v>
      </c>
      <c r="S788" s="1015">
        <v>500</v>
      </c>
      <c r="T788" s="961" t="s">
        <v>4646</v>
      </c>
      <c r="U788" s="42"/>
      <c r="V788" s="288"/>
    </row>
    <row r="789" spans="2:22" ht="90">
      <c r="B789" s="650" t="s">
        <v>3601</v>
      </c>
      <c r="C789" s="648"/>
      <c r="D789" s="649"/>
      <c r="E789" s="444"/>
      <c r="F789" s="444"/>
      <c r="G789" s="42"/>
      <c r="H789" s="42"/>
      <c r="L789" s="283"/>
      <c r="M789" s="283"/>
      <c r="N789" s="283"/>
      <c r="O789" s="283"/>
      <c r="P789" s="525"/>
      <c r="Q789" s="21"/>
      <c r="R789" s="1015">
        <v>500</v>
      </c>
      <c r="S789" s="1015">
        <v>500</v>
      </c>
      <c r="T789" s="961" t="s">
        <v>4646</v>
      </c>
      <c r="U789" s="42"/>
      <c r="V789" s="288"/>
    </row>
    <row r="790" spans="2:22" ht="90">
      <c r="B790" s="650" t="s">
        <v>2405</v>
      </c>
      <c r="C790" s="648"/>
      <c r="D790" s="649"/>
      <c r="E790" s="444"/>
      <c r="F790" s="444"/>
      <c r="G790" s="42"/>
      <c r="H790" s="42"/>
      <c r="L790" s="283"/>
      <c r="M790" s="283"/>
      <c r="N790" s="283"/>
      <c r="O790" s="283"/>
      <c r="P790" s="525"/>
      <c r="Q790" s="21"/>
      <c r="R790" s="1015">
        <v>500</v>
      </c>
      <c r="S790" s="1015">
        <v>500</v>
      </c>
      <c r="T790" s="961" t="s">
        <v>4646</v>
      </c>
      <c r="U790" s="42"/>
      <c r="V790" s="288"/>
    </row>
    <row r="791" spans="2:22" ht="90">
      <c r="B791" s="650" t="s">
        <v>3602</v>
      </c>
      <c r="C791" s="648"/>
      <c r="D791" s="649"/>
      <c r="E791" s="444"/>
      <c r="F791" s="444"/>
      <c r="G791" s="42"/>
      <c r="H791" s="42"/>
      <c r="L791" s="283"/>
      <c r="M791" s="283"/>
      <c r="N791" s="283"/>
      <c r="O791" s="283"/>
      <c r="P791" s="525"/>
      <c r="Q791" s="21"/>
      <c r="R791" s="1015">
        <v>500</v>
      </c>
      <c r="S791" s="1015">
        <v>500</v>
      </c>
      <c r="T791" s="961" t="s">
        <v>4646</v>
      </c>
      <c r="U791" s="42"/>
      <c r="V791" s="288"/>
    </row>
    <row r="792" spans="2:22" ht="90">
      <c r="B792" s="650" t="s">
        <v>3603</v>
      </c>
      <c r="C792" s="648"/>
      <c r="D792" s="649"/>
      <c r="E792" s="444"/>
      <c r="F792" s="444"/>
      <c r="G792" s="42"/>
      <c r="H792" s="42"/>
      <c r="L792" s="283"/>
      <c r="M792" s="283"/>
      <c r="N792" s="283"/>
      <c r="O792" s="283"/>
      <c r="P792" s="525"/>
      <c r="Q792" s="21"/>
      <c r="R792" s="1015">
        <v>500</v>
      </c>
      <c r="S792" s="1015">
        <v>500</v>
      </c>
      <c r="T792" s="961" t="s">
        <v>4646</v>
      </c>
      <c r="U792" s="42"/>
      <c r="V792" s="288"/>
    </row>
    <row r="793" spans="2:22" ht="90">
      <c r="B793" s="650" t="s">
        <v>3604</v>
      </c>
      <c r="C793" s="648"/>
      <c r="D793" s="649"/>
      <c r="E793" s="444"/>
      <c r="F793" s="444"/>
      <c r="G793" s="42"/>
      <c r="H793" s="42"/>
      <c r="L793" s="283"/>
      <c r="M793" s="283"/>
      <c r="N793" s="283"/>
      <c r="O793" s="283"/>
      <c r="P793" s="525"/>
      <c r="Q793" s="21"/>
      <c r="R793" s="1015">
        <v>500</v>
      </c>
      <c r="S793" s="1015">
        <v>500</v>
      </c>
      <c r="T793" s="961" t="s">
        <v>4646</v>
      </c>
      <c r="U793" s="42"/>
      <c r="V793" s="288"/>
    </row>
    <row r="794" spans="2:22" ht="90">
      <c r="B794" s="650" t="s">
        <v>3605</v>
      </c>
      <c r="C794" s="648"/>
      <c r="D794" s="649"/>
      <c r="E794" s="444"/>
      <c r="F794" s="444"/>
      <c r="G794" s="42"/>
      <c r="H794" s="42"/>
      <c r="L794" s="283"/>
      <c r="M794" s="283"/>
      <c r="N794" s="283"/>
      <c r="O794" s="283"/>
      <c r="P794" s="525"/>
      <c r="Q794" s="21"/>
      <c r="R794" s="1015">
        <v>500</v>
      </c>
      <c r="S794" s="1015">
        <v>500</v>
      </c>
      <c r="T794" s="961" t="s">
        <v>4646</v>
      </c>
      <c r="U794" s="42"/>
      <c r="V794" s="288"/>
    </row>
    <row r="795" spans="2:22" ht="90">
      <c r="B795" s="650" t="s">
        <v>3606</v>
      </c>
      <c r="C795" s="648"/>
      <c r="D795" s="649"/>
      <c r="E795" s="444"/>
      <c r="F795" s="444"/>
      <c r="G795" s="42"/>
      <c r="H795" s="42"/>
      <c r="L795" s="283"/>
      <c r="M795" s="283"/>
      <c r="N795" s="283"/>
      <c r="O795" s="283"/>
      <c r="P795" s="525"/>
      <c r="Q795" s="21"/>
      <c r="R795" s="1015">
        <v>500</v>
      </c>
      <c r="S795" s="1015">
        <v>500</v>
      </c>
      <c r="T795" s="961" t="s">
        <v>4646</v>
      </c>
      <c r="U795" s="42"/>
      <c r="V795" s="288"/>
    </row>
    <row r="796" spans="2:22" ht="90">
      <c r="B796" s="650" t="s">
        <v>3607</v>
      </c>
      <c r="C796" s="648"/>
      <c r="D796" s="649"/>
      <c r="E796" s="444"/>
      <c r="F796" s="444"/>
      <c r="G796" s="42"/>
      <c r="H796" s="42"/>
      <c r="L796" s="283"/>
      <c r="M796" s="283"/>
      <c r="N796" s="283"/>
      <c r="O796" s="283"/>
      <c r="P796" s="525"/>
      <c r="Q796" s="21"/>
      <c r="R796" s="1015">
        <v>500</v>
      </c>
      <c r="S796" s="1015">
        <v>500</v>
      </c>
      <c r="T796" s="961" t="s">
        <v>4646</v>
      </c>
      <c r="U796" s="42"/>
      <c r="V796" s="288"/>
    </row>
    <row r="797" spans="2:22" ht="90">
      <c r="B797" s="650" t="s">
        <v>2573</v>
      </c>
      <c r="C797" s="648"/>
      <c r="D797" s="649"/>
      <c r="E797" s="444"/>
      <c r="F797" s="444"/>
      <c r="G797" s="42"/>
      <c r="H797" s="42"/>
      <c r="L797" s="283"/>
      <c r="M797" s="283"/>
      <c r="N797" s="283"/>
      <c r="O797" s="283"/>
      <c r="P797" s="525"/>
      <c r="Q797" s="21"/>
      <c r="R797" s="1015">
        <v>500</v>
      </c>
      <c r="S797" s="1015">
        <v>500</v>
      </c>
      <c r="T797" s="961" t="s">
        <v>4646</v>
      </c>
      <c r="U797" s="42"/>
      <c r="V797" s="288"/>
    </row>
    <row r="798" spans="2:22" ht="90">
      <c r="B798" s="650" t="s">
        <v>3608</v>
      </c>
      <c r="C798" s="648"/>
      <c r="D798" s="649"/>
      <c r="E798" s="444"/>
      <c r="F798" s="444"/>
      <c r="G798" s="42"/>
      <c r="H798" s="42"/>
      <c r="L798" s="283"/>
      <c r="M798" s="283"/>
      <c r="N798" s="283"/>
      <c r="O798" s="283"/>
      <c r="P798" s="525"/>
      <c r="Q798" s="21"/>
      <c r="R798" s="1015">
        <v>500</v>
      </c>
      <c r="S798" s="1015">
        <v>500</v>
      </c>
      <c r="T798" s="961" t="s">
        <v>4646</v>
      </c>
      <c r="U798" s="42"/>
      <c r="V798" s="288"/>
    </row>
    <row r="799" spans="2:22" ht="90">
      <c r="B799" s="650" t="s">
        <v>3609</v>
      </c>
      <c r="C799" s="648"/>
      <c r="D799" s="649"/>
      <c r="E799" s="444"/>
      <c r="F799" s="444"/>
      <c r="G799" s="42"/>
      <c r="H799" s="42"/>
      <c r="L799" s="283"/>
      <c r="M799" s="283"/>
      <c r="N799" s="283"/>
      <c r="O799" s="283"/>
      <c r="P799" s="525"/>
      <c r="Q799" s="21"/>
      <c r="R799" s="1015">
        <v>500</v>
      </c>
      <c r="S799" s="1015">
        <v>500</v>
      </c>
      <c r="T799" s="961" t="s">
        <v>4646</v>
      </c>
      <c r="U799" s="42"/>
      <c r="V799" s="288"/>
    </row>
    <row r="800" spans="2:22" ht="90">
      <c r="B800" s="650" t="s">
        <v>3610</v>
      </c>
      <c r="C800" s="648"/>
      <c r="D800" s="649"/>
      <c r="E800" s="444"/>
      <c r="F800" s="444"/>
      <c r="G800" s="42"/>
      <c r="H800" s="42"/>
      <c r="L800" s="283"/>
      <c r="M800" s="283"/>
      <c r="N800" s="283"/>
      <c r="O800" s="283"/>
      <c r="P800" s="525"/>
      <c r="Q800" s="21"/>
      <c r="R800" s="1015">
        <v>500</v>
      </c>
      <c r="S800" s="1015">
        <v>500</v>
      </c>
      <c r="T800" s="961" t="s">
        <v>4646</v>
      </c>
      <c r="U800" s="42"/>
      <c r="V800" s="288"/>
    </row>
    <row r="801" spans="2:22" ht="90">
      <c r="B801" s="650" t="s">
        <v>2406</v>
      </c>
      <c r="C801" s="648"/>
      <c r="D801" s="649"/>
      <c r="E801" s="444"/>
      <c r="F801" s="444"/>
      <c r="G801" s="42"/>
      <c r="H801" s="42"/>
      <c r="L801" s="283"/>
      <c r="M801" s="283"/>
      <c r="N801" s="283"/>
      <c r="O801" s="283"/>
      <c r="P801" s="525"/>
      <c r="Q801" s="21"/>
      <c r="R801" s="1015">
        <v>500</v>
      </c>
      <c r="S801" s="1015">
        <v>500</v>
      </c>
      <c r="T801" s="961" t="s">
        <v>4646</v>
      </c>
      <c r="U801" s="42"/>
      <c r="V801" s="288"/>
    </row>
    <row r="802" spans="2:22" ht="90">
      <c r="B802" s="650" t="s">
        <v>3611</v>
      </c>
      <c r="C802" s="648"/>
      <c r="D802" s="649"/>
      <c r="E802" s="444"/>
      <c r="F802" s="444"/>
      <c r="G802" s="42"/>
      <c r="H802" s="42"/>
      <c r="L802" s="283"/>
      <c r="M802" s="283"/>
      <c r="N802" s="283"/>
      <c r="O802" s="283"/>
      <c r="P802" s="525"/>
      <c r="Q802" s="21"/>
      <c r="R802" s="1015">
        <v>500</v>
      </c>
      <c r="S802" s="1015">
        <v>500</v>
      </c>
      <c r="T802" s="961" t="s">
        <v>4646</v>
      </c>
      <c r="U802" s="42"/>
      <c r="V802" s="288"/>
    </row>
    <row r="803" spans="2:22" ht="90">
      <c r="B803" s="650" t="s">
        <v>2407</v>
      </c>
      <c r="C803" s="648"/>
      <c r="D803" s="649"/>
      <c r="E803" s="444"/>
      <c r="F803" s="444"/>
      <c r="G803" s="42"/>
      <c r="H803" s="42"/>
      <c r="L803" s="283"/>
      <c r="M803" s="283"/>
      <c r="N803" s="283"/>
      <c r="O803" s="283"/>
      <c r="P803" s="525"/>
      <c r="Q803" s="21"/>
      <c r="R803" s="1015">
        <v>500</v>
      </c>
      <c r="S803" s="1015">
        <v>500</v>
      </c>
      <c r="T803" s="961" t="s">
        <v>4646</v>
      </c>
      <c r="U803" s="42"/>
      <c r="V803" s="288"/>
    </row>
    <row r="804" spans="2:22" ht="90">
      <c r="B804" s="650" t="s">
        <v>3612</v>
      </c>
      <c r="C804" s="648"/>
      <c r="D804" s="649"/>
      <c r="E804" s="444"/>
      <c r="F804" s="444"/>
      <c r="G804" s="42"/>
      <c r="H804" s="42"/>
      <c r="L804" s="283"/>
      <c r="M804" s="283"/>
      <c r="N804" s="283"/>
      <c r="O804" s="283"/>
      <c r="P804" s="525"/>
      <c r="Q804" s="21"/>
      <c r="R804" s="1015">
        <v>500</v>
      </c>
      <c r="S804" s="1015">
        <v>500</v>
      </c>
      <c r="T804" s="961" t="s">
        <v>4646</v>
      </c>
      <c r="U804" s="42"/>
      <c r="V804" s="288"/>
    </row>
    <row r="805" spans="2:22" ht="90">
      <c r="B805" s="650" t="s">
        <v>3613</v>
      </c>
      <c r="C805" s="648"/>
      <c r="D805" s="649"/>
      <c r="E805" s="444"/>
      <c r="F805" s="444"/>
      <c r="G805" s="42"/>
      <c r="H805" s="42"/>
      <c r="L805" s="283"/>
      <c r="M805" s="283"/>
      <c r="N805" s="283"/>
      <c r="O805" s="283"/>
      <c r="P805" s="525"/>
      <c r="Q805" s="21"/>
      <c r="R805" s="1015">
        <v>500</v>
      </c>
      <c r="S805" s="1015">
        <v>500</v>
      </c>
      <c r="T805" s="961" t="s">
        <v>4646</v>
      </c>
      <c r="U805" s="42"/>
      <c r="V805" s="288"/>
    </row>
    <row r="806" spans="2:22" ht="90">
      <c r="B806" s="650" t="s">
        <v>3614</v>
      </c>
      <c r="C806" s="648"/>
      <c r="D806" s="649"/>
      <c r="E806" s="444"/>
      <c r="F806" s="444"/>
      <c r="G806" s="42"/>
      <c r="H806" s="42"/>
      <c r="L806" s="283"/>
      <c r="M806" s="283"/>
      <c r="N806" s="283"/>
      <c r="O806" s="283"/>
      <c r="P806" s="525"/>
      <c r="Q806" s="21"/>
      <c r="R806" s="1015">
        <v>500</v>
      </c>
      <c r="S806" s="1015">
        <v>500</v>
      </c>
      <c r="T806" s="961" t="s">
        <v>4646</v>
      </c>
      <c r="U806" s="42"/>
      <c r="V806" s="288"/>
    </row>
    <row r="807" spans="2:22" ht="90">
      <c r="B807" s="650" t="s">
        <v>3615</v>
      </c>
      <c r="C807" s="648"/>
      <c r="D807" s="649"/>
      <c r="E807" s="444"/>
      <c r="F807" s="444"/>
      <c r="G807" s="42"/>
      <c r="H807" s="42"/>
      <c r="L807" s="283"/>
      <c r="M807" s="283"/>
      <c r="N807" s="283"/>
      <c r="O807" s="283"/>
      <c r="P807" s="525"/>
      <c r="Q807" s="21"/>
      <c r="R807" s="1015">
        <v>500</v>
      </c>
      <c r="S807" s="1015">
        <v>500</v>
      </c>
      <c r="T807" s="961" t="s">
        <v>4646</v>
      </c>
      <c r="U807" s="42"/>
      <c r="V807" s="288"/>
    </row>
    <row r="808" spans="2:22" ht="90">
      <c r="B808" s="650" t="s">
        <v>3616</v>
      </c>
      <c r="C808" s="648"/>
      <c r="D808" s="649"/>
      <c r="E808" s="444"/>
      <c r="F808" s="444"/>
      <c r="G808" s="42"/>
      <c r="H808" s="42"/>
      <c r="L808" s="283"/>
      <c r="M808" s="283"/>
      <c r="N808" s="283"/>
      <c r="O808" s="283"/>
      <c r="P808" s="525"/>
      <c r="Q808" s="21"/>
      <c r="R808" s="1015">
        <v>500</v>
      </c>
      <c r="S808" s="1015">
        <v>500</v>
      </c>
      <c r="T808" s="961" t="s">
        <v>4646</v>
      </c>
      <c r="U808" s="42"/>
      <c r="V808" s="288"/>
    </row>
    <row r="809" spans="2:22" ht="90">
      <c r="B809" s="650" t="s">
        <v>3617</v>
      </c>
      <c r="C809" s="648"/>
      <c r="D809" s="649"/>
      <c r="E809" s="444"/>
      <c r="F809" s="444"/>
      <c r="G809" s="42"/>
      <c r="H809" s="42"/>
      <c r="L809" s="283"/>
      <c r="M809" s="283"/>
      <c r="N809" s="283"/>
      <c r="O809" s="283"/>
      <c r="P809" s="525"/>
      <c r="Q809" s="21"/>
      <c r="R809" s="1015">
        <v>500</v>
      </c>
      <c r="S809" s="1015">
        <v>500</v>
      </c>
      <c r="T809" s="961" t="s">
        <v>4646</v>
      </c>
      <c r="U809" s="42"/>
      <c r="V809" s="288"/>
    </row>
    <row r="810" spans="2:22" ht="90">
      <c r="B810" s="650" t="s">
        <v>3618</v>
      </c>
      <c r="C810" s="648"/>
      <c r="D810" s="649"/>
      <c r="E810" s="444"/>
      <c r="F810" s="444"/>
      <c r="G810" s="42"/>
      <c r="H810" s="42"/>
      <c r="L810" s="283"/>
      <c r="M810" s="283"/>
      <c r="N810" s="283"/>
      <c r="O810" s="283"/>
      <c r="P810" s="525"/>
      <c r="Q810" s="21"/>
      <c r="R810" s="1015">
        <v>500</v>
      </c>
      <c r="S810" s="1015">
        <v>500</v>
      </c>
      <c r="T810" s="961" t="s">
        <v>4646</v>
      </c>
      <c r="U810" s="42"/>
      <c r="V810" s="288"/>
    </row>
    <row r="811" spans="2:22" ht="90">
      <c r="B811" s="650" t="s">
        <v>3619</v>
      </c>
      <c r="C811" s="648"/>
      <c r="D811" s="649"/>
      <c r="E811" s="444"/>
      <c r="F811" s="444"/>
      <c r="G811" s="42"/>
      <c r="H811" s="42"/>
      <c r="L811" s="283"/>
      <c r="M811" s="283"/>
      <c r="N811" s="283"/>
      <c r="O811" s="283"/>
      <c r="P811" s="525"/>
      <c r="Q811" s="21"/>
      <c r="R811" s="1015">
        <v>500</v>
      </c>
      <c r="S811" s="1015">
        <v>500</v>
      </c>
      <c r="T811" s="961" t="s">
        <v>4646</v>
      </c>
      <c r="U811" s="42"/>
      <c r="V811" s="288"/>
    </row>
    <row r="812" spans="2:22" ht="90">
      <c r="B812" s="650" t="s">
        <v>3620</v>
      </c>
      <c r="C812" s="648"/>
      <c r="D812" s="649"/>
      <c r="E812" s="444"/>
      <c r="F812" s="444"/>
      <c r="G812" s="42"/>
      <c r="H812" s="42"/>
      <c r="L812" s="283"/>
      <c r="M812" s="283"/>
      <c r="N812" s="283"/>
      <c r="O812" s="283"/>
      <c r="P812" s="525"/>
      <c r="Q812" s="21"/>
      <c r="R812" s="1015">
        <v>500</v>
      </c>
      <c r="S812" s="1015">
        <v>500</v>
      </c>
      <c r="T812" s="961" t="s">
        <v>4646</v>
      </c>
      <c r="U812" s="42"/>
      <c r="V812" s="288"/>
    </row>
    <row r="813" spans="2:22" ht="90">
      <c r="B813" s="650" t="s">
        <v>3621</v>
      </c>
      <c r="C813" s="648"/>
      <c r="D813" s="649"/>
      <c r="E813" s="444"/>
      <c r="F813" s="444"/>
      <c r="G813" s="42"/>
      <c r="H813" s="42"/>
      <c r="L813" s="283"/>
      <c r="M813" s="283"/>
      <c r="N813" s="283"/>
      <c r="O813" s="283"/>
      <c r="P813" s="525"/>
      <c r="Q813" s="21"/>
      <c r="R813" s="1015">
        <v>500</v>
      </c>
      <c r="S813" s="1015">
        <v>500</v>
      </c>
      <c r="T813" s="961" t="s">
        <v>4646</v>
      </c>
      <c r="U813" s="42"/>
      <c r="V813" s="288"/>
    </row>
    <row r="814" spans="2:22" ht="90">
      <c r="B814" s="650" t="s">
        <v>3622</v>
      </c>
      <c r="C814" s="648"/>
      <c r="D814" s="649"/>
      <c r="E814" s="444"/>
      <c r="F814" s="444"/>
      <c r="G814" s="42"/>
      <c r="H814" s="42"/>
      <c r="L814" s="283"/>
      <c r="M814" s="283"/>
      <c r="N814" s="283"/>
      <c r="O814" s="283"/>
      <c r="P814" s="525"/>
      <c r="Q814" s="21"/>
      <c r="R814" s="1015">
        <v>500</v>
      </c>
      <c r="S814" s="1015">
        <v>500</v>
      </c>
      <c r="T814" s="961" t="s">
        <v>4646</v>
      </c>
      <c r="U814" s="42"/>
      <c r="V814" s="288"/>
    </row>
    <row r="815" spans="2:22" ht="90">
      <c r="B815" s="650" t="s">
        <v>3623</v>
      </c>
      <c r="C815" s="648"/>
      <c r="D815" s="649"/>
      <c r="E815" s="444"/>
      <c r="F815" s="444"/>
      <c r="G815" s="42"/>
      <c r="H815" s="42"/>
      <c r="L815" s="283"/>
      <c r="M815" s="283"/>
      <c r="N815" s="283"/>
      <c r="O815" s="283"/>
      <c r="P815" s="525"/>
      <c r="Q815" s="21"/>
      <c r="R815" s="1015">
        <v>500</v>
      </c>
      <c r="S815" s="1015">
        <v>500</v>
      </c>
      <c r="T815" s="961" t="s">
        <v>4646</v>
      </c>
      <c r="U815" s="42"/>
      <c r="V815" s="288"/>
    </row>
    <row r="816" spans="2:22" ht="90">
      <c r="B816" s="650" t="s">
        <v>3624</v>
      </c>
      <c r="C816" s="648"/>
      <c r="D816" s="649"/>
      <c r="E816" s="444"/>
      <c r="F816" s="444"/>
      <c r="G816" s="42"/>
      <c r="H816" s="42"/>
      <c r="L816" s="283"/>
      <c r="M816" s="283"/>
      <c r="N816" s="283"/>
      <c r="O816" s="283"/>
      <c r="P816" s="525"/>
      <c r="Q816" s="21"/>
      <c r="R816" s="1015">
        <v>500</v>
      </c>
      <c r="S816" s="1015">
        <v>500</v>
      </c>
      <c r="T816" s="961" t="s">
        <v>4646</v>
      </c>
      <c r="U816" s="42"/>
      <c r="V816" s="288"/>
    </row>
    <row r="817" spans="2:22" ht="90">
      <c r="B817" s="650" t="s">
        <v>3625</v>
      </c>
      <c r="C817" s="648"/>
      <c r="D817" s="649"/>
      <c r="E817" s="444"/>
      <c r="F817" s="444"/>
      <c r="G817" s="42"/>
      <c r="H817" s="42"/>
      <c r="L817" s="283"/>
      <c r="M817" s="283"/>
      <c r="N817" s="283"/>
      <c r="O817" s="283"/>
      <c r="P817" s="525"/>
      <c r="Q817" s="21"/>
      <c r="R817" s="1015">
        <v>500</v>
      </c>
      <c r="S817" s="1015">
        <v>500</v>
      </c>
      <c r="T817" s="961" t="s">
        <v>4646</v>
      </c>
      <c r="U817" s="42"/>
      <c r="V817" s="288"/>
    </row>
    <row r="818" spans="2:22" ht="90">
      <c r="B818" s="650" t="s">
        <v>3626</v>
      </c>
      <c r="C818" s="648"/>
      <c r="D818" s="649"/>
      <c r="E818" s="444"/>
      <c r="F818" s="444"/>
      <c r="G818" s="42"/>
      <c r="H818" s="42"/>
      <c r="L818" s="283"/>
      <c r="M818" s="283"/>
      <c r="N818" s="283"/>
      <c r="O818" s="283"/>
      <c r="P818" s="525"/>
      <c r="Q818" s="21"/>
      <c r="R818" s="1015">
        <v>500</v>
      </c>
      <c r="S818" s="1015">
        <v>500</v>
      </c>
      <c r="T818" s="961" t="s">
        <v>4646</v>
      </c>
      <c r="U818" s="42"/>
      <c r="V818" s="288"/>
    </row>
    <row r="819" spans="2:22" ht="90">
      <c r="B819" s="650" t="s">
        <v>3627</v>
      </c>
      <c r="C819" s="648"/>
      <c r="D819" s="649"/>
      <c r="E819" s="444"/>
      <c r="F819" s="444"/>
      <c r="G819" s="42"/>
      <c r="H819" s="42"/>
      <c r="L819" s="283"/>
      <c r="M819" s="283"/>
      <c r="N819" s="283"/>
      <c r="O819" s="283"/>
      <c r="P819" s="525"/>
      <c r="Q819" s="21"/>
      <c r="R819" s="1015">
        <v>500</v>
      </c>
      <c r="S819" s="1015">
        <v>500</v>
      </c>
      <c r="T819" s="961" t="s">
        <v>4646</v>
      </c>
      <c r="U819" s="42"/>
      <c r="V819" s="288"/>
    </row>
    <row r="820" spans="2:22" ht="90">
      <c r="B820" s="650" t="s">
        <v>3628</v>
      </c>
      <c r="C820" s="648"/>
      <c r="D820" s="649"/>
      <c r="E820" s="444"/>
      <c r="F820" s="444"/>
      <c r="G820" s="42"/>
      <c r="H820" s="42"/>
      <c r="L820" s="283"/>
      <c r="M820" s="283"/>
      <c r="N820" s="283"/>
      <c r="O820" s="283"/>
      <c r="P820" s="525"/>
      <c r="Q820" s="21"/>
      <c r="R820" s="1015">
        <v>500</v>
      </c>
      <c r="S820" s="1015">
        <v>500</v>
      </c>
      <c r="T820" s="961" t="s">
        <v>4646</v>
      </c>
      <c r="U820" s="42"/>
      <c r="V820" s="288"/>
    </row>
    <row r="821" spans="2:22" ht="90">
      <c r="B821" s="650" t="s">
        <v>3629</v>
      </c>
      <c r="C821" s="648"/>
      <c r="D821" s="649"/>
      <c r="E821" s="444"/>
      <c r="F821" s="444"/>
      <c r="G821" s="42"/>
      <c r="H821" s="42"/>
      <c r="L821" s="283"/>
      <c r="M821" s="283"/>
      <c r="N821" s="283"/>
      <c r="O821" s="283"/>
      <c r="P821" s="525"/>
      <c r="Q821" s="21"/>
      <c r="R821" s="1015">
        <v>500</v>
      </c>
      <c r="S821" s="1015">
        <v>500</v>
      </c>
      <c r="T821" s="961" t="s">
        <v>4646</v>
      </c>
      <c r="U821" s="42"/>
      <c r="V821" s="288"/>
    </row>
    <row r="822" spans="2:22" ht="90">
      <c r="B822" s="650" t="s">
        <v>3630</v>
      </c>
      <c r="C822" s="648"/>
      <c r="D822" s="649"/>
      <c r="E822" s="444"/>
      <c r="F822" s="444"/>
      <c r="G822" s="42"/>
      <c r="H822" s="42"/>
      <c r="L822" s="283"/>
      <c r="M822" s="283"/>
      <c r="N822" s="283"/>
      <c r="O822" s="283"/>
      <c r="P822" s="525"/>
      <c r="Q822" s="21"/>
      <c r="R822" s="1015">
        <v>500</v>
      </c>
      <c r="S822" s="1015">
        <v>500</v>
      </c>
      <c r="T822" s="961" t="s">
        <v>4646</v>
      </c>
      <c r="U822" s="42"/>
      <c r="V822" s="288"/>
    </row>
    <row r="823" spans="2:22" ht="90">
      <c r="B823" s="650" t="s">
        <v>3631</v>
      </c>
      <c r="C823" s="648"/>
      <c r="D823" s="649"/>
      <c r="E823" s="444"/>
      <c r="F823" s="444"/>
      <c r="G823" s="42"/>
      <c r="H823" s="42"/>
      <c r="L823" s="283"/>
      <c r="M823" s="283"/>
      <c r="N823" s="283"/>
      <c r="O823" s="283"/>
      <c r="P823" s="525"/>
      <c r="Q823" s="21"/>
      <c r="R823" s="1015">
        <v>500</v>
      </c>
      <c r="S823" s="1015">
        <v>500</v>
      </c>
      <c r="T823" s="961" t="s">
        <v>4646</v>
      </c>
      <c r="U823" s="42"/>
      <c r="V823" s="288"/>
    </row>
    <row r="824" spans="2:22" ht="90">
      <c r="B824" s="650" t="s">
        <v>3632</v>
      </c>
      <c r="C824" s="648"/>
      <c r="D824" s="649"/>
      <c r="E824" s="444"/>
      <c r="F824" s="444"/>
      <c r="G824" s="42"/>
      <c r="H824" s="42"/>
      <c r="L824" s="283"/>
      <c r="M824" s="283"/>
      <c r="N824" s="283"/>
      <c r="O824" s="283"/>
      <c r="P824" s="525"/>
      <c r="Q824" s="21"/>
      <c r="R824" s="1015">
        <v>500</v>
      </c>
      <c r="S824" s="1015">
        <v>500</v>
      </c>
      <c r="T824" s="961" t="s">
        <v>4646</v>
      </c>
      <c r="U824" s="42"/>
      <c r="V824" s="288"/>
    </row>
    <row r="825" spans="2:22" ht="90">
      <c r="B825" s="650" t="s">
        <v>3633</v>
      </c>
      <c r="C825" s="648"/>
      <c r="D825" s="649"/>
      <c r="E825" s="444"/>
      <c r="F825" s="444"/>
      <c r="G825" s="42"/>
      <c r="H825" s="42"/>
      <c r="L825" s="283"/>
      <c r="M825" s="283"/>
      <c r="N825" s="283"/>
      <c r="O825" s="283"/>
      <c r="P825" s="525"/>
      <c r="Q825" s="21"/>
      <c r="R825" s="1015">
        <v>500</v>
      </c>
      <c r="S825" s="1015">
        <v>500</v>
      </c>
      <c r="T825" s="961" t="s">
        <v>4646</v>
      </c>
      <c r="U825" s="42"/>
      <c r="V825" s="288"/>
    </row>
    <row r="826" spans="2:22" ht="90">
      <c r="B826" s="650" t="s">
        <v>3634</v>
      </c>
      <c r="C826" s="648"/>
      <c r="D826" s="649"/>
      <c r="E826" s="444"/>
      <c r="F826" s="444"/>
      <c r="G826" s="42"/>
      <c r="H826" s="42"/>
      <c r="L826" s="283"/>
      <c r="M826" s="283"/>
      <c r="N826" s="283"/>
      <c r="O826" s="283"/>
      <c r="P826" s="525"/>
      <c r="Q826" s="21"/>
      <c r="R826" s="1015">
        <v>500</v>
      </c>
      <c r="S826" s="1015">
        <v>500</v>
      </c>
      <c r="T826" s="961" t="s">
        <v>4646</v>
      </c>
      <c r="U826" s="42"/>
      <c r="V826" s="288"/>
    </row>
    <row r="827" spans="2:22" ht="90">
      <c r="B827" s="650" t="s">
        <v>3635</v>
      </c>
      <c r="C827" s="648"/>
      <c r="D827" s="649"/>
      <c r="E827" s="444"/>
      <c r="F827" s="444"/>
      <c r="G827" s="42"/>
      <c r="H827" s="42"/>
      <c r="L827" s="283"/>
      <c r="M827" s="283"/>
      <c r="N827" s="283"/>
      <c r="O827" s="283"/>
      <c r="P827" s="525"/>
      <c r="Q827" s="21"/>
      <c r="R827" s="1015">
        <v>500</v>
      </c>
      <c r="S827" s="1015">
        <v>500</v>
      </c>
      <c r="T827" s="961" t="s">
        <v>4646</v>
      </c>
      <c r="U827" s="42"/>
      <c r="V827" s="288"/>
    </row>
    <row r="828" spans="2:22" ht="30">
      <c r="B828" s="646" t="s">
        <v>314</v>
      </c>
      <c r="C828" s="646"/>
      <c r="D828" s="647" t="s">
        <v>3636</v>
      </c>
      <c r="E828" s="527">
        <v>41149</v>
      </c>
      <c r="F828" s="527"/>
      <c r="G828" s="525" t="s">
        <v>315</v>
      </c>
      <c r="H828" s="525"/>
      <c r="I828" s="31"/>
      <c r="J828" s="1233"/>
      <c r="K828" s="31"/>
      <c r="L828" s="21">
        <v>63000</v>
      </c>
      <c r="M828" s="21"/>
      <c r="N828" s="21">
        <f t="shared" si="233"/>
        <v>63000</v>
      </c>
      <c r="O828" s="283"/>
      <c r="P828" s="647" t="s">
        <v>110</v>
      </c>
      <c r="Q828" s="1136" t="s">
        <v>105</v>
      </c>
      <c r="R828" s="963">
        <v>63000</v>
      </c>
      <c r="S828" s="963">
        <v>63000</v>
      </c>
      <c r="T828" s="965"/>
      <c r="U828" s="31"/>
      <c r="V828" s="523" t="s">
        <v>307</v>
      </c>
    </row>
    <row r="829" spans="2:22" ht="75">
      <c r="B829" s="646" t="s">
        <v>343</v>
      </c>
      <c r="C829" s="646"/>
      <c r="D829" s="647" t="s">
        <v>3638</v>
      </c>
      <c r="E829" s="527">
        <v>41149</v>
      </c>
      <c r="F829" s="527"/>
      <c r="G829" s="525" t="s">
        <v>3637</v>
      </c>
      <c r="H829" s="525"/>
      <c r="I829" s="31"/>
      <c r="J829" s="1233"/>
      <c r="K829" s="31"/>
      <c r="L829" s="21">
        <v>10000</v>
      </c>
      <c r="M829" s="21"/>
      <c r="N829" s="21">
        <f t="shared" si="233"/>
        <v>10000</v>
      </c>
      <c r="O829" s="283"/>
      <c r="P829" s="647" t="s">
        <v>110</v>
      </c>
      <c r="Q829" s="1136" t="s">
        <v>105</v>
      </c>
      <c r="R829" s="963">
        <v>10000</v>
      </c>
      <c r="S829" s="963">
        <v>10000</v>
      </c>
      <c r="T829" s="1118" t="s">
        <v>4778</v>
      </c>
      <c r="U829" s="31"/>
      <c r="V829" s="523" t="s">
        <v>307</v>
      </c>
    </row>
    <row r="830" spans="2:22" ht="30">
      <c r="B830" s="646" t="s">
        <v>321</v>
      </c>
      <c r="C830" s="646"/>
      <c r="D830" s="647" t="s">
        <v>3640</v>
      </c>
      <c r="E830" s="527">
        <v>41149</v>
      </c>
      <c r="F830" s="527"/>
      <c r="G830" s="525" t="s">
        <v>3639</v>
      </c>
      <c r="H830" s="525"/>
      <c r="I830" s="31"/>
      <c r="J830" s="1233"/>
      <c r="K830" s="31"/>
      <c r="L830" s="21">
        <v>7500</v>
      </c>
      <c r="M830" s="21"/>
      <c r="N830" s="21">
        <f t="shared" si="233"/>
        <v>7500</v>
      </c>
      <c r="O830" s="283"/>
      <c r="P830" s="647" t="s">
        <v>110</v>
      </c>
      <c r="Q830" s="1136" t="s">
        <v>105</v>
      </c>
      <c r="R830" s="963">
        <v>7500</v>
      </c>
      <c r="S830" s="963">
        <v>7500</v>
      </c>
      <c r="T830" s="965"/>
      <c r="U830" s="31"/>
      <c r="V830" s="523" t="s">
        <v>307</v>
      </c>
    </row>
    <row r="831" spans="2:22" ht="30">
      <c r="B831" s="646" t="s">
        <v>337</v>
      </c>
      <c r="C831" s="646"/>
      <c r="D831" s="647" t="s">
        <v>3642</v>
      </c>
      <c r="E831" s="651">
        <v>41149</v>
      </c>
      <c r="F831" s="651"/>
      <c r="G831" s="525" t="s">
        <v>3641</v>
      </c>
      <c r="H831" s="525"/>
      <c r="I831" s="31"/>
      <c r="J831" s="1233"/>
      <c r="K831" s="31"/>
      <c r="L831" s="21">
        <v>3000</v>
      </c>
      <c r="M831" s="21"/>
      <c r="N831" s="21">
        <f t="shared" si="233"/>
        <v>3000</v>
      </c>
      <c r="O831" s="283"/>
      <c r="P831" s="647" t="s">
        <v>110</v>
      </c>
      <c r="Q831" s="1136" t="s">
        <v>105</v>
      </c>
      <c r="R831" s="963">
        <v>3000</v>
      </c>
      <c r="S831" s="963">
        <v>3000</v>
      </c>
      <c r="T831" s="965"/>
      <c r="U831" s="31"/>
      <c r="V831" s="523" t="s">
        <v>307</v>
      </c>
    </row>
    <row r="832" spans="2:22" ht="30">
      <c r="B832" s="646" t="s">
        <v>2651</v>
      </c>
      <c r="C832" s="646"/>
      <c r="D832" s="647" t="s">
        <v>3644</v>
      </c>
      <c r="E832" s="527">
        <v>41149</v>
      </c>
      <c r="F832" s="527"/>
      <c r="G832" s="525" t="s">
        <v>3643</v>
      </c>
      <c r="H832" s="525"/>
      <c r="I832" s="31"/>
      <c r="J832" s="1233"/>
      <c r="K832" s="31"/>
      <c r="L832" s="21">
        <v>2000</v>
      </c>
      <c r="M832" s="21"/>
      <c r="N832" s="21">
        <f t="shared" si="233"/>
        <v>2000</v>
      </c>
      <c r="O832" s="283"/>
      <c r="P832" s="647" t="s">
        <v>110</v>
      </c>
      <c r="Q832" s="1136" t="s">
        <v>105</v>
      </c>
      <c r="R832" s="963">
        <v>2000</v>
      </c>
      <c r="S832" s="963">
        <v>2000</v>
      </c>
      <c r="T832" s="965"/>
      <c r="U832" s="31"/>
      <c r="V832" s="523" t="s">
        <v>307</v>
      </c>
    </row>
    <row r="833" spans="2:22" ht="30">
      <c r="B833" s="646" t="s">
        <v>311</v>
      </c>
      <c r="C833" s="646"/>
      <c r="D833" s="647" t="s">
        <v>3646</v>
      </c>
      <c r="E833" s="527">
        <v>41149</v>
      </c>
      <c r="F833" s="527"/>
      <c r="G833" s="525" t="s">
        <v>3645</v>
      </c>
      <c r="H833" s="525"/>
      <c r="I833" s="31"/>
      <c r="J833" s="1233"/>
      <c r="K833" s="31"/>
      <c r="L833" s="21">
        <v>7308</v>
      </c>
      <c r="M833" s="21"/>
      <c r="N833" s="21">
        <f t="shared" si="233"/>
        <v>7308</v>
      </c>
      <c r="O833" s="283"/>
      <c r="P833" s="647" t="s">
        <v>110</v>
      </c>
      <c r="Q833" s="1136" t="s">
        <v>105</v>
      </c>
      <c r="R833" s="1064">
        <f>SUM(R834:R841)</f>
        <v>7308</v>
      </c>
      <c r="S833" s="1064">
        <f>SUM(S834:S841)</f>
        <v>7308</v>
      </c>
      <c r="T833" s="965"/>
      <c r="U833" s="31"/>
      <c r="V833" s="523" t="s">
        <v>307</v>
      </c>
    </row>
    <row r="834" spans="2:22" ht="30">
      <c r="B834" s="646" t="s">
        <v>5451</v>
      </c>
      <c r="C834" s="646"/>
      <c r="D834" s="647"/>
      <c r="E834" s="527"/>
      <c r="F834" s="527"/>
      <c r="G834" s="525"/>
      <c r="H834" s="525"/>
      <c r="I834" s="31"/>
      <c r="J834" s="1233"/>
      <c r="K834" s="31"/>
      <c r="L834" s="795"/>
      <c r="M834" s="21"/>
      <c r="N834" s="21">
        <f t="shared" si="233"/>
        <v>0</v>
      </c>
      <c r="O834" s="283"/>
      <c r="P834" s="647"/>
      <c r="Q834" s="1136"/>
      <c r="R834" s="35">
        <v>2860</v>
      </c>
      <c r="S834" s="35">
        <v>2860</v>
      </c>
      <c r="T834" s="965" t="s">
        <v>5458</v>
      </c>
      <c r="U834" s="31"/>
      <c r="V834" s="523"/>
    </row>
    <row r="835" spans="2:22" ht="30">
      <c r="B835" s="646" t="s">
        <v>5452</v>
      </c>
      <c r="C835" s="646"/>
      <c r="D835" s="647"/>
      <c r="E835" s="527"/>
      <c r="F835" s="527"/>
      <c r="G835" s="525"/>
      <c r="H835" s="525"/>
      <c r="I835" s="31"/>
      <c r="J835" s="1233"/>
      <c r="K835" s="31"/>
      <c r="L835" s="795"/>
      <c r="M835" s="21"/>
      <c r="N835" s="21">
        <f t="shared" si="233"/>
        <v>0</v>
      </c>
      <c r="O835" s="283"/>
      <c r="P835" s="647"/>
      <c r="Q835" s="1136"/>
      <c r="R835" s="35">
        <v>100</v>
      </c>
      <c r="S835" s="35">
        <v>100</v>
      </c>
      <c r="T835" s="965" t="s">
        <v>5458</v>
      </c>
      <c r="U835" s="31"/>
      <c r="V835" s="523"/>
    </row>
    <row r="836" spans="2:22" ht="45">
      <c r="B836" s="646" t="s">
        <v>5453</v>
      </c>
      <c r="C836" s="646"/>
      <c r="D836" s="647"/>
      <c r="E836" s="527"/>
      <c r="F836" s="527"/>
      <c r="G836" s="525"/>
      <c r="H836" s="525"/>
      <c r="I836" s="31"/>
      <c r="J836" s="1233"/>
      <c r="K836" s="31"/>
      <c r="L836" s="795"/>
      <c r="M836" s="21"/>
      <c r="N836" s="21">
        <f t="shared" si="233"/>
        <v>0</v>
      </c>
      <c r="O836" s="283"/>
      <c r="P836" s="647"/>
      <c r="Q836" s="1136"/>
      <c r="R836" s="35">
        <v>1800</v>
      </c>
      <c r="S836" s="35">
        <v>1800</v>
      </c>
      <c r="T836" s="965" t="s">
        <v>5459</v>
      </c>
      <c r="U836" s="31"/>
      <c r="V836" s="523"/>
    </row>
    <row r="837" spans="2:22" ht="45">
      <c r="B837" s="646" t="s">
        <v>5454</v>
      </c>
      <c r="C837" s="646"/>
      <c r="D837" s="647"/>
      <c r="E837" s="527"/>
      <c r="F837" s="527"/>
      <c r="G837" s="525"/>
      <c r="H837" s="525"/>
      <c r="I837" s="31"/>
      <c r="J837" s="1233"/>
      <c r="K837" s="31"/>
      <c r="L837" s="795"/>
      <c r="M837" s="21"/>
      <c r="N837" s="21">
        <f t="shared" si="233"/>
        <v>0</v>
      </c>
      <c r="O837" s="283"/>
      <c r="P837" s="647"/>
      <c r="Q837" s="1136"/>
      <c r="R837" s="35">
        <v>224</v>
      </c>
      <c r="S837" s="35">
        <v>224</v>
      </c>
      <c r="T837" s="965" t="s">
        <v>5460</v>
      </c>
      <c r="U837" s="31"/>
      <c r="V837" s="523"/>
    </row>
    <row r="838" spans="2:22">
      <c r="B838" s="646" t="s">
        <v>5451</v>
      </c>
      <c r="C838" s="646"/>
      <c r="D838" s="647"/>
      <c r="E838" s="527"/>
      <c r="F838" s="527"/>
      <c r="G838" s="525"/>
      <c r="H838" s="525"/>
      <c r="I838" s="31"/>
      <c r="J838" s="1233"/>
      <c r="K838" s="31"/>
      <c r="L838" s="795"/>
      <c r="M838" s="21"/>
      <c r="N838" s="21">
        <f t="shared" si="233"/>
        <v>0</v>
      </c>
      <c r="O838" s="283"/>
      <c r="P838" s="647"/>
      <c r="Q838" s="1136"/>
      <c r="R838" s="35">
        <v>24</v>
      </c>
      <c r="S838" s="35">
        <v>24</v>
      </c>
      <c r="T838" s="965" t="s">
        <v>5461</v>
      </c>
      <c r="U838" s="31"/>
      <c r="V838" s="523"/>
    </row>
    <row r="839" spans="2:22">
      <c r="B839" s="646" t="s">
        <v>5455</v>
      </c>
      <c r="C839" s="646"/>
      <c r="D839" s="647"/>
      <c r="E839" s="527"/>
      <c r="F839" s="527"/>
      <c r="G839" s="525"/>
      <c r="H839" s="525"/>
      <c r="I839" s="31"/>
      <c r="J839" s="1233"/>
      <c r="K839" s="31"/>
      <c r="L839" s="795"/>
      <c r="M839" s="21"/>
      <c r="N839" s="21">
        <f t="shared" si="233"/>
        <v>0</v>
      </c>
      <c r="O839" s="283"/>
      <c r="P839" s="647"/>
      <c r="Q839" s="1136"/>
      <c r="R839" s="35">
        <v>400</v>
      </c>
      <c r="S839" s="35">
        <v>400</v>
      </c>
      <c r="T839" s="965" t="s">
        <v>5462</v>
      </c>
      <c r="U839" s="31"/>
      <c r="V839" s="523"/>
    </row>
    <row r="840" spans="2:22">
      <c r="B840" s="646" t="s">
        <v>5456</v>
      </c>
      <c r="C840" s="646"/>
      <c r="D840" s="647"/>
      <c r="E840" s="527"/>
      <c r="F840" s="527"/>
      <c r="G840" s="525"/>
      <c r="H840" s="525"/>
      <c r="I840" s="31"/>
      <c r="J840" s="1233"/>
      <c r="K840" s="31"/>
      <c r="L840" s="795"/>
      <c r="M840" s="21"/>
      <c r="N840" s="21">
        <f t="shared" si="233"/>
        <v>0</v>
      </c>
      <c r="O840" s="283"/>
      <c r="P840" s="647"/>
      <c r="Q840" s="1136"/>
      <c r="R840" s="35">
        <v>900</v>
      </c>
      <c r="S840" s="35">
        <v>900</v>
      </c>
      <c r="T840" s="965" t="s">
        <v>5463</v>
      </c>
      <c r="U840" s="31"/>
      <c r="V840" s="523"/>
    </row>
    <row r="841" spans="2:22" ht="30">
      <c r="B841" s="646" t="s">
        <v>5457</v>
      </c>
      <c r="C841" s="646"/>
      <c r="D841" s="647"/>
      <c r="E841" s="527"/>
      <c r="F841" s="527"/>
      <c r="G841" s="525"/>
      <c r="H841" s="525"/>
      <c r="I841" s="31"/>
      <c r="J841" s="1233"/>
      <c r="K841" s="31"/>
      <c r="L841" s="795"/>
      <c r="M841" s="21"/>
      <c r="N841" s="21">
        <f t="shared" si="233"/>
        <v>0</v>
      </c>
      <c r="O841" s="283"/>
      <c r="P841" s="647"/>
      <c r="Q841" s="1136"/>
      <c r="R841" s="35">
        <v>1000</v>
      </c>
      <c r="S841" s="35">
        <v>1000</v>
      </c>
      <c r="T841" s="965" t="s">
        <v>5464</v>
      </c>
      <c r="U841" s="31"/>
      <c r="V841" s="523"/>
    </row>
    <row r="842" spans="2:22" ht="90">
      <c r="B842" s="646" t="s">
        <v>308</v>
      </c>
      <c r="C842" s="646"/>
      <c r="D842" s="647" t="s">
        <v>3648</v>
      </c>
      <c r="E842" s="527">
        <v>41149</v>
      </c>
      <c r="F842" s="527"/>
      <c r="G842" s="525" t="s">
        <v>3647</v>
      </c>
      <c r="H842" s="525"/>
      <c r="I842" s="31"/>
      <c r="J842" s="1233"/>
      <c r="K842" s="31"/>
      <c r="L842" s="21">
        <v>3000</v>
      </c>
      <c r="M842" s="21"/>
      <c r="N842" s="21">
        <f t="shared" si="233"/>
        <v>3000</v>
      </c>
      <c r="O842" s="283"/>
      <c r="P842" s="647" t="s">
        <v>110</v>
      </c>
      <c r="Q842" s="1136" t="s">
        <v>105</v>
      </c>
      <c r="R842" s="963">
        <v>3000</v>
      </c>
      <c r="S842" s="963">
        <v>3000</v>
      </c>
      <c r="T842" s="961" t="s">
        <v>4646</v>
      </c>
      <c r="U842" s="31"/>
      <c r="V842" s="523" t="s">
        <v>307</v>
      </c>
    </row>
    <row r="843" spans="2:22" ht="30">
      <c r="B843" s="646" t="s">
        <v>3521</v>
      </c>
      <c r="C843" s="646"/>
      <c r="D843" s="647" t="s">
        <v>3650</v>
      </c>
      <c r="E843" s="527">
        <v>41149</v>
      </c>
      <c r="F843" s="527"/>
      <c r="G843" s="525" t="s">
        <v>3649</v>
      </c>
      <c r="H843" s="525"/>
      <c r="I843" s="31"/>
      <c r="J843" s="1233"/>
      <c r="K843" s="31"/>
      <c r="L843" s="21">
        <v>5000</v>
      </c>
      <c r="M843" s="21"/>
      <c r="N843" s="21">
        <f t="shared" si="233"/>
        <v>5000</v>
      </c>
      <c r="O843" s="283"/>
      <c r="P843" s="647" t="s">
        <v>110</v>
      </c>
      <c r="Q843" s="1136" t="s">
        <v>105</v>
      </c>
      <c r="R843" s="963">
        <v>5000</v>
      </c>
      <c r="S843" s="963">
        <v>5000</v>
      </c>
      <c r="T843" s="1116"/>
      <c r="U843" s="31"/>
      <c r="V843" s="523" t="s">
        <v>307</v>
      </c>
    </row>
    <row r="844" spans="2:22" ht="30">
      <c r="B844" s="646" t="s">
        <v>349</v>
      </c>
      <c r="C844" s="646"/>
      <c r="D844" s="647" t="s">
        <v>3652</v>
      </c>
      <c r="E844" s="527">
        <v>41156</v>
      </c>
      <c r="F844" s="527"/>
      <c r="G844" s="525" t="s">
        <v>3651</v>
      </c>
      <c r="H844" s="525"/>
      <c r="I844" s="31"/>
      <c r="J844" s="1233"/>
      <c r="K844" s="31"/>
      <c r="L844" s="21">
        <v>716</v>
      </c>
      <c r="M844" s="21"/>
      <c r="N844" s="21">
        <f t="shared" si="233"/>
        <v>716</v>
      </c>
      <c r="O844" s="283"/>
      <c r="P844" s="647" t="s">
        <v>110</v>
      </c>
      <c r="Q844" s="1136" t="s">
        <v>105</v>
      </c>
      <c r="R844" s="145">
        <f>SUM(R845:R847)</f>
        <v>716</v>
      </c>
      <c r="S844" s="145">
        <f>SUM(S845:S847)</f>
        <v>716</v>
      </c>
      <c r="T844" s="1071" t="s">
        <v>6048</v>
      </c>
      <c r="U844" s="525"/>
      <c r="V844" s="523" t="s">
        <v>307</v>
      </c>
    </row>
    <row r="845" spans="2:22">
      <c r="B845" s="648" t="s">
        <v>1745</v>
      </c>
      <c r="C845" s="648"/>
      <c r="D845" s="649"/>
      <c r="E845" s="444"/>
      <c r="F845" s="444"/>
      <c r="G845" s="42"/>
      <c r="H845" s="42"/>
      <c r="L845" s="283"/>
      <c r="M845" s="283"/>
      <c r="N845" s="283"/>
      <c r="O845" s="283"/>
      <c r="P845" s="525"/>
      <c r="Q845" s="21"/>
      <c r="R845" s="964">
        <v>97</v>
      </c>
      <c r="S845" s="964">
        <v>97</v>
      </c>
      <c r="T845" s="962"/>
      <c r="U845" s="42"/>
      <c r="V845" s="288"/>
    </row>
    <row r="846" spans="2:22">
      <c r="B846" s="648" t="s">
        <v>3653</v>
      </c>
      <c r="C846" s="648"/>
      <c r="D846" s="649"/>
      <c r="E846" s="444"/>
      <c r="F846" s="444"/>
      <c r="G846" s="42"/>
      <c r="H846" s="42"/>
      <c r="L846" s="283"/>
      <c r="M846" s="283"/>
      <c r="N846" s="283"/>
      <c r="O846" s="283"/>
      <c r="P846" s="525"/>
      <c r="Q846" s="21"/>
      <c r="R846" s="964">
        <v>69</v>
      </c>
      <c r="S846" s="964">
        <v>69</v>
      </c>
      <c r="T846" s="962"/>
      <c r="U846" s="42"/>
      <c r="V846" s="288"/>
    </row>
    <row r="847" spans="2:22">
      <c r="B847" s="648" t="s">
        <v>3654</v>
      </c>
      <c r="C847" s="648"/>
      <c r="D847" s="649"/>
      <c r="E847" s="444"/>
      <c r="F847" s="444"/>
      <c r="G847" s="42"/>
      <c r="H847" s="42"/>
      <c r="L847" s="283"/>
      <c r="M847" s="283"/>
      <c r="N847" s="283"/>
      <c r="O847" s="283"/>
      <c r="P847" s="525"/>
      <c r="Q847" s="21"/>
      <c r="R847" s="964">
        <v>550</v>
      </c>
      <c r="S847" s="964">
        <v>550</v>
      </c>
      <c r="T847" s="962"/>
      <c r="U847" s="42"/>
      <c r="V847" s="288"/>
    </row>
    <row r="848" spans="2:22" ht="30">
      <c r="B848" s="646" t="s">
        <v>337</v>
      </c>
      <c r="C848" s="646"/>
      <c r="D848" s="647" t="s">
        <v>3656</v>
      </c>
      <c r="E848" s="527">
        <v>41171</v>
      </c>
      <c r="F848" s="527"/>
      <c r="G848" s="525" t="s">
        <v>3655</v>
      </c>
      <c r="H848" s="525"/>
      <c r="I848" s="31"/>
      <c r="J848" s="1233"/>
      <c r="K848" s="31"/>
      <c r="L848" s="21">
        <v>240</v>
      </c>
      <c r="M848" s="21"/>
      <c r="N848" s="21">
        <f t="shared" si="233"/>
        <v>240</v>
      </c>
      <c r="O848" s="283"/>
      <c r="P848" s="647" t="s">
        <v>110</v>
      </c>
      <c r="Q848" s="1136" t="s">
        <v>105</v>
      </c>
      <c r="R848" s="963">
        <v>240</v>
      </c>
      <c r="S848" s="963">
        <v>240</v>
      </c>
      <c r="T848" s="961"/>
      <c r="U848" s="525"/>
      <c r="V848" s="523" t="s">
        <v>307</v>
      </c>
    </row>
    <row r="849" spans="2:22" ht="30">
      <c r="B849" s="646" t="s">
        <v>317</v>
      </c>
      <c r="C849" s="646"/>
      <c r="D849" s="647" t="s">
        <v>3658</v>
      </c>
      <c r="E849" s="527">
        <v>41172</v>
      </c>
      <c r="F849" s="527"/>
      <c r="G849" s="525" t="s">
        <v>3657</v>
      </c>
      <c r="H849" s="525"/>
      <c r="I849" s="31"/>
      <c r="J849" s="1233"/>
      <c r="K849" s="31"/>
      <c r="L849" s="21">
        <v>7000</v>
      </c>
      <c r="M849" s="21"/>
      <c r="N849" s="21">
        <f t="shared" si="233"/>
        <v>7000</v>
      </c>
      <c r="O849" s="283"/>
      <c r="P849" s="647" t="s">
        <v>110</v>
      </c>
      <c r="Q849" s="1136" t="s">
        <v>105</v>
      </c>
      <c r="R849" s="963">
        <v>7000</v>
      </c>
      <c r="S849" s="963">
        <v>7000</v>
      </c>
      <c r="T849" s="961"/>
      <c r="U849" s="525"/>
      <c r="V849" s="523" t="s">
        <v>307</v>
      </c>
    </row>
    <row r="850" spans="2:22" ht="90">
      <c r="B850" s="646" t="s">
        <v>308</v>
      </c>
      <c r="C850" s="646"/>
      <c r="D850" s="647" t="s">
        <v>3659</v>
      </c>
      <c r="E850" s="527">
        <v>41173</v>
      </c>
      <c r="F850" s="527"/>
      <c r="G850" s="525" t="s">
        <v>2407</v>
      </c>
      <c r="H850" s="525"/>
      <c r="I850" s="31"/>
      <c r="J850" s="1233"/>
      <c r="K850" s="31"/>
      <c r="L850" s="21">
        <v>2700</v>
      </c>
      <c r="M850" s="21"/>
      <c r="N850" s="21">
        <f t="shared" si="233"/>
        <v>2700</v>
      </c>
      <c r="O850" s="283"/>
      <c r="P850" s="647" t="s">
        <v>110</v>
      </c>
      <c r="Q850" s="1136" t="s">
        <v>105</v>
      </c>
      <c r="R850" s="963">
        <v>2700</v>
      </c>
      <c r="S850" s="963">
        <v>2700</v>
      </c>
      <c r="T850" s="961" t="s">
        <v>4646</v>
      </c>
      <c r="U850" s="525"/>
      <c r="V850" s="523" t="s">
        <v>307</v>
      </c>
    </row>
    <row r="851" spans="2:22" ht="90">
      <c r="B851" s="646" t="s">
        <v>308</v>
      </c>
      <c r="C851" s="646"/>
      <c r="D851" s="647" t="s">
        <v>3661</v>
      </c>
      <c r="E851" s="527">
        <v>41173</v>
      </c>
      <c r="F851" s="527"/>
      <c r="G851" s="525" t="s">
        <v>3660</v>
      </c>
      <c r="H851" s="525"/>
      <c r="I851" s="31"/>
      <c r="J851" s="1233"/>
      <c r="K851" s="31"/>
      <c r="L851" s="21">
        <v>5000</v>
      </c>
      <c r="M851" s="21"/>
      <c r="N851" s="21">
        <f t="shared" si="233"/>
        <v>5000</v>
      </c>
      <c r="O851" s="283"/>
      <c r="P851" s="647" t="s">
        <v>110</v>
      </c>
      <c r="Q851" s="1136" t="s">
        <v>105</v>
      </c>
      <c r="R851" s="70"/>
      <c r="S851" s="70"/>
      <c r="T851" s="961" t="s">
        <v>4646</v>
      </c>
      <c r="U851" s="525"/>
      <c r="V851" s="523" t="s">
        <v>307</v>
      </c>
    </row>
    <row r="852" spans="2:22">
      <c r="B852" s="648" t="s">
        <v>3662</v>
      </c>
      <c r="C852" s="648"/>
      <c r="D852" s="649"/>
      <c r="E852" s="444"/>
      <c r="F852" s="444"/>
      <c r="G852" s="42"/>
      <c r="H852" s="42"/>
      <c r="L852" s="283"/>
      <c r="M852" s="283"/>
      <c r="N852" s="283"/>
      <c r="O852" s="283"/>
      <c r="P852" s="525"/>
      <c r="Q852" s="21"/>
      <c r="R852" s="964">
        <v>550</v>
      </c>
      <c r="S852" s="964">
        <v>550</v>
      </c>
      <c r="T852" s="962"/>
      <c r="U852" s="42"/>
      <c r="V852" s="288"/>
    </row>
    <row r="853" spans="2:22">
      <c r="B853" s="648" t="s">
        <v>3663</v>
      </c>
      <c r="C853" s="648"/>
      <c r="D853" s="649"/>
      <c r="E853" s="444"/>
      <c r="F853" s="444"/>
      <c r="G853" s="42"/>
      <c r="H853" s="42"/>
      <c r="L853" s="283"/>
      <c r="M853" s="283"/>
      <c r="N853" s="283"/>
      <c r="O853" s="283"/>
      <c r="P853" s="525"/>
      <c r="Q853" s="21"/>
      <c r="R853" s="964">
        <v>4000</v>
      </c>
      <c r="S853" s="964">
        <v>4000</v>
      </c>
      <c r="T853" s="962"/>
      <c r="U853" s="42"/>
      <c r="V853" s="288"/>
    </row>
    <row r="854" spans="2:22">
      <c r="B854" s="648" t="s">
        <v>3664</v>
      </c>
      <c r="C854" s="648"/>
      <c r="D854" s="649"/>
      <c r="E854" s="444"/>
      <c r="F854" s="444"/>
      <c r="G854" s="42"/>
      <c r="H854" s="42"/>
      <c r="L854" s="283"/>
      <c r="M854" s="283"/>
      <c r="N854" s="283"/>
      <c r="O854" s="283"/>
      <c r="P854" s="525"/>
      <c r="Q854" s="21"/>
      <c r="R854" s="964">
        <v>450</v>
      </c>
      <c r="S854" s="964">
        <v>450</v>
      </c>
      <c r="T854" s="962"/>
      <c r="U854" s="42"/>
      <c r="V854" s="288"/>
    </row>
    <row r="855" spans="2:22" ht="90">
      <c r="B855" s="646" t="s">
        <v>308</v>
      </c>
      <c r="C855" s="646"/>
      <c r="D855" s="647" t="s">
        <v>3666</v>
      </c>
      <c r="E855" s="527">
        <v>41173</v>
      </c>
      <c r="F855" s="527"/>
      <c r="G855" s="525" t="s">
        <v>3665</v>
      </c>
      <c r="H855" s="525"/>
      <c r="I855" s="31"/>
      <c r="J855" s="1233"/>
      <c r="K855" s="31"/>
      <c r="L855" s="21">
        <v>50</v>
      </c>
      <c r="M855" s="21"/>
      <c r="N855" s="21">
        <f t="shared" si="233"/>
        <v>50</v>
      </c>
      <c r="O855" s="283"/>
      <c r="P855" s="647" t="s">
        <v>110</v>
      </c>
      <c r="Q855" s="1136" t="s">
        <v>105</v>
      </c>
      <c r="R855" s="963">
        <v>50</v>
      </c>
      <c r="S855" s="963">
        <v>50</v>
      </c>
      <c r="T855" s="961" t="s">
        <v>4646</v>
      </c>
      <c r="U855" s="525"/>
      <c r="V855" s="523" t="s">
        <v>307</v>
      </c>
    </row>
    <row r="856" spans="2:22" ht="30">
      <c r="B856" s="646" t="s">
        <v>319</v>
      </c>
      <c r="C856" s="646"/>
      <c r="D856" s="647" t="s">
        <v>3668</v>
      </c>
      <c r="E856" s="527">
        <v>41180</v>
      </c>
      <c r="F856" s="527"/>
      <c r="G856" s="525" t="s">
        <v>3667</v>
      </c>
      <c r="H856" s="525"/>
      <c r="I856" s="31"/>
      <c r="J856" s="1233"/>
      <c r="K856" s="31"/>
      <c r="L856" s="21">
        <v>6000</v>
      </c>
      <c r="M856" s="21"/>
      <c r="N856" s="21">
        <f t="shared" si="233"/>
        <v>6000</v>
      </c>
      <c r="O856" s="283"/>
      <c r="P856" s="647" t="s">
        <v>110</v>
      </c>
      <c r="Q856" s="1136" t="s">
        <v>105</v>
      </c>
      <c r="R856" s="963">
        <v>6000</v>
      </c>
      <c r="S856" s="963">
        <v>6000</v>
      </c>
      <c r="T856" s="961"/>
      <c r="U856" s="525"/>
      <c r="V856" s="523" t="s">
        <v>307</v>
      </c>
    </row>
    <row r="857" spans="2:22" ht="30">
      <c r="B857" s="646" t="s">
        <v>314</v>
      </c>
      <c r="C857" s="646"/>
      <c r="D857" s="647" t="s">
        <v>3670</v>
      </c>
      <c r="E857" s="527">
        <v>41180</v>
      </c>
      <c r="F857" s="527"/>
      <c r="G857" s="525" t="s">
        <v>3669</v>
      </c>
      <c r="H857" s="525"/>
      <c r="I857" s="31"/>
      <c r="J857" s="1233"/>
      <c r="K857" s="31"/>
      <c r="L857" s="21">
        <v>5000</v>
      </c>
      <c r="M857" s="21"/>
      <c r="N857" s="21">
        <f t="shared" si="233"/>
        <v>5000</v>
      </c>
      <c r="O857" s="283"/>
      <c r="P857" s="647" t="s">
        <v>110</v>
      </c>
      <c r="Q857" s="1136" t="s">
        <v>105</v>
      </c>
      <c r="R857" s="963">
        <v>5000</v>
      </c>
      <c r="S857" s="963">
        <v>5000</v>
      </c>
      <c r="T857" s="961"/>
      <c r="U857" s="525"/>
      <c r="V857" s="523" t="s">
        <v>307</v>
      </c>
    </row>
    <row r="858" spans="2:22" ht="30">
      <c r="B858" s="646" t="s">
        <v>314</v>
      </c>
      <c r="C858" s="646"/>
      <c r="D858" s="647" t="s">
        <v>3671</v>
      </c>
      <c r="E858" s="527">
        <v>41180</v>
      </c>
      <c r="F858" s="527"/>
      <c r="G858" s="525" t="s">
        <v>3505</v>
      </c>
      <c r="H858" s="525"/>
      <c r="I858" s="31"/>
      <c r="J858" s="1233"/>
      <c r="K858" s="31"/>
      <c r="L858" s="21">
        <v>4000</v>
      </c>
      <c r="M858" s="21"/>
      <c r="N858" s="21">
        <f t="shared" si="233"/>
        <v>4000</v>
      </c>
      <c r="O858" s="283"/>
      <c r="P858" s="647" t="s">
        <v>110</v>
      </c>
      <c r="Q858" s="1136" t="s">
        <v>105</v>
      </c>
      <c r="R858" s="963">
        <v>4000</v>
      </c>
      <c r="S858" s="963">
        <v>4000</v>
      </c>
      <c r="T858" s="961"/>
      <c r="U858" s="525"/>
      <c r="V858" s="523" t="s">
        <v>307</v>
      </c>
    </row>
    <row r="859" spans="2:22" ht="30">
      <c r="B859" s="646" t="s">
        <v>311</v>
      </c>
      <c r="C859" s="646"/>
      <c r="D859" s="647" t="s">
        <v>3673</v>
      </c>
      <c r="E859" s="527">
        <v>41180</v>
      </c>
      <c r="F859" s="527"/>
      <c r="G859" s="525" t="s">
        <v>3672</v>
      </c>
      <c r="H859" s="525"/>
      <c r="I859" s="31"/>
      <c r="J859" s="1233"/>
      <c r="K859" s="31"/>
      <c r="L859" s="21">
        <v>2500</v>
      </c>
      <c r="M859" s="21"/>
      <c r="N859" s="21">
        <f t="shared" si="233"/>
        <v>2500</v>
      </c>
      <c r="O859" s="283"/>
      <c r="P859" s="647" t="s">
        <v>110</v>
      </c>
      <c r="Q859" s="1136" t="s">
        <v>105</v>
      </c>
      <c r="R859" s="963">
        <v>2500</v>
      </c>
      <c r="S859" s="963">
        <v>2500</v>
      </c>
      <c r="T859" s="961"/>
      <c r="U859" s="525"/>
      <c r="V859" s="523" t="s">
        <v>307</v>
      </c>
    </row>
    <row r="860" spans="2:22" ht="30">
      <c r="B860" s="646" t="s">
        <v>314</v>
      </c>
      <c r="C860" s="646"/>
      <c r="D860" s="647" t="s">
        <v>3675</v>
      </c>
      <c r="E860" s="527">
        <v>41180</v>
      </c>
      <c r="F860" s="527"/>
      <c r="G860" s="525" t="s">
        <v>3674</v>
      </c>
      <c r="H860" s="525"/>
      <c r="I860" s="31"/>
      <c r="J860" s="1233"/>
      <c r="K860" s="31"/>
      <c r="L860" s="21">
        <v>1000</v>
      </c>
      <c r="M860" s="21"/>
      <c r="N860" s="21">
        <f t="shared" si="233"/>
        <v>1000</v>
      </c>
      <c r="O860" s="283"/>
      <c r="P860" s="647" t="s">
        <v>110</v>
      </c>
      <c r="Q860" s="1136" t="s">
        <v>105</v>
      </c>
      <c r="R860" s="963">
        <v>1000</v>
      </c>
      <c r="S860" s="963">
        <v>1000</v>
      </c>
      <c r="T860" s="961"/>
      <c r="U860" s="525"/>
      <c r="V860" s="523" t="s">
        <v>307</v>
      </c>
    </row>
    <row r="861" spans="2:22" ht="30">
      <c r="B861" s="646" t="s">
        <v>311</v>
      </c>
      <c r="C861" s="646"/>
      <c r="D861" s="647" t="s">
        <v>3676</v>
      </c>
      <c r="E861" s="527">
        <v>41183</v>
      </c>
      <c r="F861" s="527"/>
      <c r="G861" s="525" t="s">
        <v>315</v>
      </c>
      <c r="H861" s="525"/>
      <c r="I861" s="31"/>
      <c r="J861" s="1233"/>
      <c r="K861" s="31"/>
      <c r="L861" s="21">
        <v>7000</v>
      </c>
      <c r="M861" s="21"/>
      <c r="N861" s="21">
        <f t="shared" si="233"/>
        <v>7000</v>
      </c>
      <c r="O861" s="283"/>
      <c r="P861" s="647" t="s">
        <v>110</v>
      </c>
      <c r="Q861" s="1136" t="s">
        <v>105</v>
      </c>
      <c r="R861" s="1064">
        <f>SUM(R862:R864)</f>
        <v>7000</v>
      </c>
      <c r="S861" s="1064">
        <f>SUM(S862:S864)</f>
        <v>7000</v>
      </c>
      <c r="T861" s="961"/>
      <c r="U861" s="525"/>
      <c r="V861" s="523" t="s">
        <v>307</v>
      </c>
    </row>
    <row r="862" spans="2:22" ht="30">
      <c r="B862" s="646" t="s">
        <v>5465</v>
      </c>
      <c r="C862" s="646"/>
      <c r="D862" s="647"/>
      <c r="E862" s="527"/>
      <c r="F862" s="527"/>
      <c r="G862" s="525"/>
      <c r="H862" s="525"/>
      <c r="I862" s="31"/>
      <c r="J862" s="1233"/>
      <c r="K862" s="31"/>
      <c r="L862" s="795"/>
      <c r="M862" s="21"/>
      <c r="N862" s="21">
        <f t="shared" si="233"/>
        <v>0</v>
      </c>
      <c r="O862" s="283"/>
      <c r="P862" s="647"/>
      <c r="Q862" s="1136"/>
      <c r="R862" s="35">
        <v>2500</v>
      </c>
      <c r="S862" s="35">
        <v>2500</v>
      </c>
      <c r="T862" s="961" t="s">
        <v>5467</v>
      </c>
      <c r="U862" s="525"/>
      <c r="V862" s="523"/>
    </row>
    <row r="863" spans="2:22" ht="30">
      <c r="B863" s="646" t="s">
        <v>5465</v>
      </c>
      <c r="C863" s="646"/>
      <c r="D863" s="647"/>
      <c r="E863" s="527"/>
      <c r="F863" s="527"/>
      <c r="G863" s="525"/>
      <c r="H863" s="525"/>
      <c r="I863" s="31"/>
      <c r="J863" s="1233"/>
      <c r="K863" s="31"/>
      <c r="L863" s="795"/>
      <c r="M863" s="21"/>
      <c r="N863" s="21">
        <f t="shared" si="233"/>
        <v>0</v>
      </c>
      <c r="O863" s="283"/>
      <c r="P863" s="647"/>
      <c r="Q863" s="1136"/>
      <c r="R863" s="35">
        <v>2500</v>
      </c>
      <c r="S863" s="35">
        <v>2500</v>
      </c>
      <c r="T863" s="961" t="s">
        <v>5468</v>
      </c>
      <c r="U863" s="525"/>
      <c r="V863" s="523"/>
    </row>
    <row r="864" spans="2:22" ht="45">
      <c r="B864" s="646" t="s">
        <v>5466</v>
      </c>
      <c r="C864" s="646"/>
      <c r="D864" s="647"/>
      <c r="E864" s="527"/>
      <c r="F864" s="527"/>
      <c r="G864" s="525"/>
      <c r="H864" s="525"/>
      <c r="I864" s="31"/>
      <c r="J864" s="1233"/>
      <c r="K864" s="31"/>
      <c r="L864" s="795"/>
      <c r="M864" s="21"/>
      <c r="N864" s="21">
        <f t="shared" si="233"/>
        <v>0</v>
      </c>
      <c r="O864" s="283"/>
      <c r="P864" s="647"/>
      <c r="Q864" s="1136"/>
      <c r="R864" s="35">
        <v>2000</v>
      </c>
      <c r="S864" s="35">
        <v>2000</v>
      </c>
      <c r="T864" s="961" t="s">
        <v>5469</v>
      </c>
      <c r="U864" s="525"/>
      <c r="V864" s="523"/>
    </row>
    <row r="865" spans="2:22" ht="30">
      <c r="B865" s="646" t="s">
        <v>314</v>
      </c>
      <c r="C865" s="646"/>
      <c r="D865" s="647" t="s">
        <v>3677</v>
      </c>
      <c r="E865" s="527">
        <v>41183</v>
      </c>
      <c r="F865" s="527"/>
      <c r="G865" s="525" t="s">
        <v>315</v>
      </c>
      <c r="H865" s="525"/>
      <c r="I865" s="31"/>
      <c r="J865" s="1233"/>
      <c r="K865" s="31"/>
      <c r="L865" s="21">
        <v>2500</v>
      </c>
      <c r="M865" s="21"/>
      <c r="N865" s="21">
        <f t="shared" si="233"/>
        <v>2500</v>
      </c>
      <c r="O865" s="283"/>
      <c r="P865" s="647" t="s">
        <v>110</v>
      </c>
      <c r="Q865" s="1136" t="s">
        <v>105</v>
      </c>
      <c r="R865" s="963">
        <v>2500</v>
      </c>
      <c r="S865" s="963">
        <v>2500</v>
      </c>
      <c r="T865" s="961"/>
      <c r="U865" s="525"/>
      <c r="V865" s="523" t="s">
        <v>307</v>
      </c>
    </row>
    <row r="866" spans="2:22" ht="30">
      <c r="B866" s="646" t="s">
        <v>343</v>
      </c>
      <c r="C866" s="646"/>
      <c r="D866" s="647" t="s">
        <v>3678</v>
      </c>
      <c r="E866" s="527">
        <v>41183</v>
      </c>
      <c r="F866" s="527"/>
      <c r="G866" s="525" t="s">
        <v>315</v>
      </c>
      <c r="H866" s="525"/>
      <c r="I866" s="31"/>
      <c r="J866" s="1233"/>
      <c r="K866" s="31"/>
      <c r="L866" s="21">
        <v>6000</v>
      </c>
      <c r="M866" s="21"/>
      <c r="N866" s="21">
        <f t="shared" si="233"/>
        <v>6000</v>
      </c>
      <c r="O866" s="283"/>
      <c r="P866" s="647" t="s">
        <v>110</v>
      </c>
      <c r="Q866" s="1136" t="s">
        <v>105</v>
      </c>
      <c r="R866" s="70"/>
      <c r="S866" s="70"/>
      <c r="T866" s="961"/>
      <c r="U866" s="525"/>
      <c r="V866" s="523" t="s">
        <v>307</v>
      </c>
    </row>
    <row r="867" spans="2:22" ht="45">
      <c r="B867" s="650" t="s">
        <v>3679</v>
      </c>
      <c r="C867" s="648"/>
      <c r="D867" s="649"/>
      <c r="E867" s="444"/>
      <c r="F867" s="444"/>
      <c r="G867" s="42"/>
      <c r="H867" s="42"/>
      <c r="L867" s="283"/>
      <c r="M867" s="283"/>
      <c r="N867" s="283"/>
      <c r="O867" s="283"/>
      <c r="P867" s="525"/>
      <c r="Q867" s="21"/>
      <c r="R867" s="963">
        <v>3000</v>
      </c>
      <c r="S867" s="963">
        <v>3000</v>
      </c>
      <c r="T867" s="961" t="s">
        <v>4779</v>
      </c>
      <c r="U867" s="42"/>
      <c r="V867" s="288"/>
    </row>
    <row r="868" spans="2:22">
      <c r="B868" s="648" t="s">
        <v>3680</v>
      </c>
      <c r="C868" s="648"/>
      <c r="D868" s="649"/>
      <c r="E868" s="444"/>
      <c r="F868" s="444"/>
      <c r="G868" s="42"/>
      <c r="H868" s="42"/>
      <c r="L868" s="283"/>
      <c r="M868" s="283"/>
      <c r="N868" s="283"/>
      <c r="O868" s="283"/>
      <c r="P868" s="525"/>
      <c r="Q868" s="21"/>
      <c r="R868" s="964">
        <v>3000</v>
      </c>
      <c r="S868" s="964">
        <v>3000</v>
      </c>
      <c r="T868" s="962"/>
      <c r="U868" s="42"/>
      <c r="V868" s="288"/>
    </row>
    <row r="869" spans="2:22" ht="30">
      <c r="B869" s="646" t="s">
        <v>319</v>
      </c>
      <c r="C869" s="646"/>
      <c r="D869" s="647" t="s">
        <v>3682</v>
      </c>
      <c r="E869" s="527">
        <v>41183</v>
      </c>
      <c r="F869" s="527"/>
      <c r="G869" s="525" t="s">
        <v>3681</v>
      </c>
      <c r="H869" s="525"/>
      <c r="I869" s="31"/>
      <c r="J869" s="1233"/>
      <c r="K869" s="31"/>
      <c r="L869" s="21">
        <v>2000</v>
      </c>
      <c r="M869" s="21"/>
      <c r="N869" s="21">
        <f t="shared" ref="N869:N930" si="234">SUM(L869:M869)</f>
        <v>2000</v>
      </c>
      <c r="O869" s="283"/>
      <c r="P869" s="647" t="s">
        <v>110</v>
      </c>
      <c r="Q869" s="1136" t="s">
        <v>105</v>
      </c>
      <c r="R869" s="963">
        <v>2000</v>
      </c>
      <c r="S869" s="963">
        <v>2000</v>
      </c>
      <c r="T869" s="961"/>
      <c r="U869" s="525"/>
      <c r="V869" s="523" t="s">
        <v>307</v>
      </c>
    </row>
    <row r="870" spans="2:22" ht="30">
      <c r="B870" s="646" t="s">
        <v>337</v>
      </c>
      <c r="C870" s="646"/>
      <c r="D870" s="647" t="s">
        <v>3683</v>
      </c>
      <c r="E870" s="527">
        <v>41183</v>
      </c>
      <c r="F870" s="527"/>
      <c r="G870" s="525" t="s">
        <v>315</v>
      </c>
      <c r="H870" s="525"/>
      <c r="I870" s="31"/>
      <c r="J870" s="1233"/>
      <c r="K870" s="31"/>
      <c r="L870" s="21">
        <v>7500</v>
      </c>
      <c r="M870" s="21"/>
      <c r="N870" s="21">
        <f t="shared" si="234"/>
        <v>7500</v>
      </c>
      <c r="O870" s="283"/>
      <c r="P870" s="647" t="s">
        <v>110</v>
      </c>
      <c r="Q870" s="1136" t="s">
        <v>105</v>
      </c>
      <c r="R870" s="963">
        <v>7500</v>
      </c>
      <c r="S870" s="963">
        <v>7500</v>
      </c>
      <c r="T870" s="961"/>
      <c r="U870" s="525"/>
      <c r="V870" s="523" t="s">
        <v>307</v>
      </c>
    </row>
    <row r="871" spans="2:22" ht="30">
      <c r="B871" s="646" t="s">
        <v>388</v>
      </c>
      <c r="C871" s="646"/>
      <c r="D871" s="647" t="s">
        <v>3684</v>
      </c>
      <c r="E871" s="527">
        <v>41183</v>
      </c>
      <c r="F871" s="527"/>
      <c r="G871" s="525" t="s">
        <v>3555</v>
      </c>
      <c r="H871" s="525"/>
      <c r="I871" s="31"/>
      <c r="J871" s="1233"/>
      <c r="K871" s="31"/>
      <c r="L871" s="21">
        <v>2000</v>
      </c>
      <c r="M871" s="21"/>
      <c r="N871" s="21">
        <f t="shared" si="234"/>
        <v>2000</v>
      </c>
      <c r="O871" s="283"/>
      <c r="P871" s="647" t="s">
        <v>110</v>
      </c>
      <c r="Q871" s="1136" t="s">
        <v>105</v>
      </c>
      <c r="R871" s="963">
        <v>2000</v>
      </c>
      <c r="S871" s="963">
        <v>2000</v>
      </c>
      <c r="T871" s="965">
        <v>2000000</v>
      </c>
      <c r="U871" s="525"/>
      <c r="V871" s="523" t="s">
        <v>307</v>
      </c>
    </row>
    <row r="872" spans="2:22" ht="30">
      <c r="B872" s="646" t="s">
        <v>380</v>
      </c>
      <c r="C872" s="646"/>
      <c r="D872" s="647" t="s">
        <v>3686</v>
      </c>
      <c r="E872" s="527">
        <v>41183</v>
      </c>
      <c r="F872" s="527"/>
      <c r="G872" s="525" t="s">
        <v>3685</v>
      </c>
      <c r="H872" s="525"/>
      <c r="I872" s="31"/>
      <c r="J872" s="1233"/>
      <c r="K872" s="31"/>
      <c r="L872" s="21">
        <v>8000</v>
      </c>
      <c r="M872" s="21"/>
      <c r="N872" s="21">
        <f t="shared" si="234"/>
        <v>8000</v>
      </c>
      <c r="O872" s="283"/>
      <c r="P872" s="647" t="s">
        <v>110</v>
      </c>
      <c r="Q872" s="1136" t="s">
        <v>105</v>
      </c>
      <c r="R872" s="70"/>
      <c r="S872" s="70"/>
      <c r="T872" s="961"/>
      <c r="U872" s="525"/>
      <c r="V872" s="523" t="s">
        <v>307</v>
      </c>
    </row>
    <row r="873" spans="2:22">
      <c r="B873" s="648" t="s">
        <v>2473</v>
      </c>
      <c r="C873" s="648"/>
      <c r="D873" s="649"/>
      <c r="E873" s="444"/>
      <c r="F873" s="444"/>
      <c r="G873" s="42"/>
      <c r="H873" s="42"/>
      <c r="L873" s="283"/>
      <c r="M873" s="283"/>
      <c r="N873" s="283"/>
      <c r="O873" s="283"/>
      <c r="P873" s="525"/>
      <c r="Q873" s="21"/>
      <c r="R873" s="964">
        <v>3000</v>
      </c>
      <c r="S873" s="964">
        <v>3000</v>
      </c>
      <c r="T873" s="962"/>
      <c r="U873" s="42"/>
      <c r="V873" s="288"/>
    </row>
    <row r="874" spans="2:22">
      <c r="B874" s="648" t="s">
        <v>3687</v>
      </c>
      <c r="C874" s="648"/>
      <c r="D874" s="649"/>
      <c r="E874" s="444"/>
      <c r="F874" s="444"/>
      <c r="G874" s="42"/>
      <c r="H874" s="42"/>
      <c r="L874" s="283"/>
      <c r="M874" s="283"/>
      <c r="N874" s="283"/>
      <c r="O874" s="283"/>
      <c r="P874" s="525"/>
      <c r="Q874" s="21"/>
      <c r="R874" s="964">
        <v>5000</v>
      </c>
      <c r="S874" s="964">
        <v>5000</v>
      </c>
      <c r="T874" s="962"/>
      <c r="U874" s="42"/>
      <c r="V874" s="288"/>
    </row>
    <row r="875" spans="2:22" ht="30">
      <c r="B875" s="646" t="s">
        <v>388</v>
      </c>
      <c r="C875" s="646"/>
      <c r="D875" s="647" t="s">
        <v>3689</v>
      </c>
      <c r="E875" s="527">
        <v>41191</v>
      </c>
      <c r="F875" s="527"/>
      <c r="G875" s="525" t="s">
        <v>3688</v>
      </c>
      <c r="H875" s="525"/>
      <c r="I875" s="31"/>
      <c r="J875" s="1233"/>
      <c r="K875" s="31"/>
      <c r="L875" s="21">
        <v>50000</v>
      </c>
      <c r="M875" s="21"/>
      <c r="N875" s="21">
        <f t="shared" si="234"/>
        <v>50000</v>
      </c>
      <c r="O875" s="283"/>
      <c r="P875" s="647" t="s">
        <v>110</v>
      </c>
      <c r="Q875" s="1136" t="s">
        <v>105</v>
      </c>
      <c r="R875" s="963">
        <v>50000</v>
      </c>
      <c r="S875" s="963">
        <v>50000</v>
      </c>
      <c r="T875" s="961"/>
      <c r="U875" s="525"/>
      <c r="V875" s="523" t="s">
        <v>307</v>
      </c>
    </row>
    <row r="876" spans="2:22" ht="90">
      <c r="B876" s="646" t="s">
        <v>308</v>
      </c>
      <c r="C876" s="646"/>
      <c r="D876" s="647" t="s">
        <v>3691</v>
      </c>
      <c r="E876" s="527">
        <v>41191</v>
      </c>
      <c r="F876" s="527"/>
      <c r="G876" s="525" t="s">
        <v>3690</v>
      </c>
      <c r="H876" s="525"/>
      <c r="I876" s="31"/>
      <c r="J876" s="1233"/>
      <c r="K876" s="31"/>
      <c r="L876" s="21">
        <v>500</v>
      </c>
      <c r="M876" s="21"/>
      <c r="N876" s="21">
        <f t="shared" si="234"/>
        <v>500</v>
      </c>
      <c r="O876" s="283"/>
      <c r="P876" s="647" t="s">
        <v>110</v>
      </c>
      <c r="Q876" s="1136" t="s">
        <v>105</v>
      </c>
      <c r="R876" s="963">
        <v>500</v>
      </c>
      <c r="S876" s="963">
        <v>500</v>
      </c>
      <c r="T876" s="961" t="s">
        <v>4646</v>
      </c>
      <c r="U876" s="525"/>
      <c r="V876" s="523" t="s">
        <v>307</v>
      </c>
    </row>
    <row r="877" spans="2:22" ht="30">
      <c r="B877" s="536" t="s">
        <v>2651</v>
      </c>
      <c r="C877" s="536"/>
      <c r="D877" s="647" t="s">
        <v>3692</v>
      </c>
      <c r="E877" s="651">
        <v>41191</v>
      </c>
      <c r="F877" s="651"/>
      <c r="G877" s="525" t="s">
        <v>2510</v>
      </c>
      <c r="H877" s="525"/>
      <c r="I877" s="31"/>
      <c r="J877" s="1233"/>
      <c r="K877" s="31"/>
      <c r="L877" s="21">
        <v>3600</v>
      </c>
      <c r="M877" s="21"/>
      <c r="N877" s="21">
        <f t="shared" si="234"/>
        <v>3600</v>
      </c>
      <c r="O877" s="283"/>
      <c r="P877" s="647" t="s">
        <v>110</v>
      </c>
      <c r="Q877" s="1136" t="s">
        <v>105</v>
      </c>
      <c r="R877" s="963">
        <v>3600</v>
      </c>
      <c r="S877" s="963">
        <v>3600</v>
      </c>
      <c r="T877" s="965" t="s">
        <v>3312</v>
      </c>
      <c r="U877" s="525"/>
      <c r="V877" s="523" t="s">
        <v>307</v>
      </c>
    </row>
    <row r="878" spans="2:22" ht="30">
      <c r="B878" s="646" t="s">
        <v>337</v>
      </c>
      <c r="C878" s="646"/>
      <c r="D878" s="647" t="s">
        <v>3693</v>
      </c>
      <c r="E878" s="527">
        <v>41194</v>
      </c>
      <c r="F878" s="527"/>
      <c r="G878" s="525" t="s">
        <v>1938</v>
      </c>
      <c r="H878" s="525"/>
      <c r="I878" s="31"/>
      <c r="J878" s="1233"/>
      <c r="K878" s="31"/>
      <c r="L878" s="21">
        <v>4500</v>
      </c>
      <c r="M878" s="21"/>
      <c r="N878" s="21">
        <f t="shared" si="234"/>
        <v>4500</v>
      </c>
      <c r="O878" s="283"/>
      <c r="P878" s="647" t="s">
        <v>110</v>
      </c>
      <c r="Q878" s="1136" t="s">
        <v>105</v>
      </c>
      <c r="R878" s="963">
        <v>4500</v>
      </c>
      <c r="S878" s="963">
        <v>4500</v>
      </c>
      <c r="T878" s="961"/>
      <c r="U878" s="525"/>
      <c r="V878" s="523" t="s">
        <v>307</v>
      </c>
    </row>
    <row r="879" spans="2:22" ht="30">
      <c r="B879" s="646" t="s">
        <v>314</v>
      </c>
      <c r="C879" s="646"/>
      <c r="D879" s="647" t="s">
        <v>3694</v>
      </c>
      <c r="E879" s="527">
        <v>41191</v>
      </c>
      <c r="F879" s="527"/>
      <c r="G879" s="525" t="s">
        <v>315</v>
      </c>
      <c r="H879" s="525"/>
      <c r="I879" s="31"/>
      <c r="J879" s="1233"/>
      <c r="K879" s="31"/>
      <c r="L879" s="21">
        <v>7720</v>
      </c>
      <c r="M879" s="21"/>
      <c r="N879" s="21">
        <f t="shared" si="234"/>
        <v>7720</v>
      </c>
      <c r="O879" s="283"/>
      <c r="P879" s="647" t="s">
        <v>110</v>
      </c>
      <c r="Q879" s="1136" t="s">
        <v>105</v>
      </c>
      <c r="R879" s="963"/>
      <c r="S879" s="963"/>
      <c r="T879" s="961"/>
      <c r="U879" s="525"/>
      <c r="V879" s="523" t="s">
        <v>307</v>
      </c>
    </row>
    <row r="880" spans="2:22">
      <c r="B880" s="654" t="s">
        <v>5693</v>
      </c>
      <c r="C880" s="646"/>
      <c r="D880" s="647"/>
      <c r="E880" s="527"/>
      <c r="F880" s="527"/>
      <c r="G880" s="525"/>
      <c r="H880" s="525"/>
      <c r="I880" s="31"/>
      <c r="J880" s="1233"/>
      <c r="K880" s="31"/>
      <c r="L880" s="21"/>
      <c r="M880" s="21"/>
      <c r="N880" s="21">
        <f t="shared" si="234"/>
        <v>0</v>
      </c>
      <c r="O880" s="283"/>
      <c r="P880" s="647"/>
      <c r="Q880" s="1136"/>
      <c r="R880" s="35">
        <v>1200</v>
      </c>
      <c r="S880" s="35">
        <v>1200</v>
      </c>
      <c r="T880" s="961"/>
      <c r="U880" s="525"/>
      <c r="V880" s="523"/>
    </row>
    <row r="881" spans="2:22">
      <c r="B881" s="654" t="s">
        <v>5694</v>
      </c>
      <c r="C881" s="646"/>
      <c r="D881" s="647"/>
      <c r="E881" s="527"/>
      <c r="F881" s="527"/>
      <c r="G881" s="525"/>
      <c r="H881" s="525"/>
      <c r="I881" s="31"/>
      <c r="J881" s="1233"/>
      <c r="K881" s="31"/>
      <c r="L881" s="795"/>
      <c r="M881" s="21"/>
      <c r="N881" s="21">
        <f t="shared" si="234"/>
        <v>0</v>
      </c>
      <c r="O881" s="283"/>
      <c r="P881" s="647"/>
      <c r="Q881" s="1136"/>
      <c r="R881" s="35">
        <v>6520</v>
      </c>
      <c r="S881" s="35">
        <v>6520</v>
      </c>
      <c r="T881" s="961"/>
      <c r="U881" s="525"/>
      <c r="V881" s="523"/>
    </row>
    <row r="882" spans="2:22" ht="30">
      <c r="B882" s="646" t="s">
        <v>337</v>
      </c>
      <c r="C882" s="646"/>
      <c r="D882" s="647" t="s">
        <v>3696</v>
      </c>
      <c r="E882" s="527">
        <v>41191</v>
      </c>
      <c r="F882" s="527"/>
      <c r="G882" s="525" t="s">
        <v>3695</v>
      </c>
      <c r="H882" s="525"/>
      <c r="I882" s="31"/>
      <c r="J882" s="1233"/>
      <c r="K882" s="31"/>
      <c r="L882" s="21">
        <v>6000</v>
      </c>
      <c r="M882" s="21"/>
      <c r="N882" s="21">
        <f t="shared" si="234"/>
        <v>6000</v>
      </c>
      <c r="O882" s="283"/>
      <c r="P882" s="647" t="s">
        <v>110</v>
      </c>
      <c r="Q882" s="1136" t="s">
        <v>105</v>
      </c>
      <c r="R882" s="963">
        <v>6000</v>
      </c>
      <c r="S882" s="963">
        <v>6000</v>
      </c>
      <c r="T882" s="961"/>
      <c r="U882" s="525"/>
      <c r="V882" s="523" t="s">
        <v>307</v>
      </c>
    </row>
    <row r="883" spans="2:22" ht="30">
      <c r="B883" s="646" t="s">
        <v>317</v>
      </c>
      <c r="C883" s="646"/>
      <c r="D883" s="647" t="s">
        <v>3698</v>
      </c>
      <c r="E883" s="527">
        <v>41191</v>
      </c>
      <c r="F883" s="527"/>
      <c r="G883" s="525" t="s">
        <v>3697</v>
      </c>
      <c r="H883" s="525"/>
      <c r="I883" s="31"/>
      <c r="J883" s="1233"/>
      <c r="K883" s="31"/>
      <c r="L883" s="21">
        <v>5000</v>
      </c>
      <c r="M883" s="21"/>
      <c r="N883" s="21">
        <f t="shared" si="234"/>
        <v>5000</v>
      </c>
      <c r="O883" s="283"/>
      <c r="P883" s="647" t="s">
        <v>110</v>
      </c>
      <c r="Q883" s="1136" t="s">
        <v>105</v>
      </c>
      <c r="R883" s="963">
        <v>5000</v>
      </c>
      <c r="S883" s="963">
        <v>5000</v>
      </c>
      <c r="T883" s="961"/>
      <c r="U883" s="525"/>
      <c r="V883" s="523" t="s">
        <v>307</v>
      </c>
    </row>
    <row r="884" spans="2:22" ht="30">
      <c r="B884" s="646" t="s">
        <v>331</v>
      </c>
      <c r="C884" s="646"/>
      <c r="D884" s="647" t="s">
        <v>3700</v>
      </c>
      <c r="E884" s="527">
        <v>41193</v>
      </c>
      <c r="F884" s="527"/>
      <c r="G884" s="525" t="s">
        <v>3699</v>
      </c>
      <c r="H884" s="525"/>
      <c r="I884" s="31"/>
      <c r="J884" s="1233"/>
      <c r="K884" s="31"/>
      <c r="L884" s="21">
        <v>5000</v>
      </c>
      <c r="M884" s="21"/>
      <c r="N884" s="21">
        <f t="shared" si="234"/>
        <v>5000</v>
      </c>
      <c r="O884" s="283"/>
      <c r="P884" s="647" t="s">
        <v>110</v>
      </c>
      <c r="Q884" s="1136" t="s">
        <v>105</v>
      </c>
      <c r="R884" s="963">
        <v>5000</v>
      </c>
      <c r="S884" s="963">
        <v>5000</v>
      </c>
      <c r="T884" s="961"/>
      <c r="U884" s="525"/>
      <c r="V884" s="523" t="s">
        <v>307</v>
      </c>
    </row>
    <row r="885" spans="2:22" ht="30">
      <c r="B885" s="646" t="s">
        <v>319</v>
      </c>
      <c r="C885" s="646"/>
      <c r="D885" s="647" t="s">
        <v>3701</v>
      </c>
      <c r="E885" s="527">
        <v>41194</v>
      </c>
      <c r="F885" s="527"/>
      <c r="G885" s="525" t="s">
        <v>353</v>
      </c>
      <c r="H885" s="525"/>
      <c r="I885" s="31"/>
      <c r="J885" s="1233"/>
      <c r="K885" s="31"/>
      <c r="L885" s="21">
        <v>17000</v>
      </c>
      <c r="M885" s="21"/>
      <c r="N885" s="21">
        <f t="shared" si="234"/>
        <v>17000</v>
      </c>
      <c r="O885" s="283"/>
      <c r="P885" s="647" t="s">
        <v>110</v>
      </c>
      <c r="Q885" s="1136" t="s">
        <v>105</v>
      </c>
      <c r="R885" s="963">
        <v>17000</v>
      </c>
      <c r="S885" s="963">
        <v>17000</v>
      </c>
      <c r="T885" s="961"/>
      <c r="U885" s="525"/>
      <c r="V885" s="523" t="s">
        <v>307</v>
      </c>
    </row>
    <row r="886" spans="2:22" ht="90">
      <c r="B886" s="646" t="s">
        <v>308</v>
      </c>
      <c r="C886" s="646"/>
      <c r="D886" s="108" t="s">
        <v>3702</v>
      </c>
      <c r="E886" s="527">
        <v>41200</v>
      </c>
      <c r="F886" s="527"/>
      <c r="G886" s="525" t="s">
        <v>3647</v>
      </c>
      <c r="H886" s="525"/>
      <c r="I886" s="31"/>
      <c r="J886" s="1233"/>
      <c r="K886" s="31"/>
      <c r="L886" s="21">
        <v>5000</v>
      </c>
      <c r="M886" s="21"/>
      <c r="N886" s="21">
        <f t="shared" si="234"/>
        <v>5000</v>
      </c>
      <c r="O886" s="283"/>
      <c r="P886" s="647" t="s">
        <v>110</v>
      </c>
      <c r="Q886" s="1136" t="s">
        <v>105</v>
      </c>
      <c r="R886" s="963">
        <v>5000</v>
      </c>
      <c r="S886" s="963">
        <v>5000</v>
      </c>
      <c r="T886" s="961" t="s">
        <v>4646</v>
      </c>
      <c r="U886" s="525"/>
      <c r="V886" s="523" t="s">
        <v>307</v>
      </c>
    </row>
    <row r="887" spans="2:22" ht="30">
      <c r="B887" s="646" t="s">
        <v>349</v>
      </c>
      <c r="C887" s="646"/>
      <c r="D887" s="108" t="s">
        <v>3704</v>
      </c>
      <c r="E887" s="527">
        <v>41200</v>
      </c>
      <c r="F887" s="527"/>
      <c r="G887" s="525" t="s">
        <v>3703</v>
      </c>
      <c r="H887" s="525"/>
      <c r="I887" s="31"/>
      <c r="J887" s="1233"/>
      <c r="K887" s="31"/>
      <c r="L887" s="21">
        <v>3000</v>
      </c>
      <c r="M887" s="21"/>
      <c r="N887" s="21">
        <f t="shared" si="234"/>
        <v>3000</v>
      </c>
      <c r="O887" s="283"/>
      <c r="P887" s="647" t="s">
        <v>110</v>
      </c>
      <c r="Q887" s="1136" t="s">
        <v>105</v>
      </c>
      <c r="R887" s="963">
        <v>3000</v>
      </c>
      <c r="S887" s="963">
        <v>3000</v>
      </c>
      <c r="T887" s="961"/>
      <c r="U887" s="525"/>
      <c r="V887" s="523" t="s">
        <v>307</v>
      </c>
    </row>
    <row r="888" spans="2:22" ht="30">
      <c r="B888" s="646" t="s">
        <v>311</v>
      </c>
      <c r="C888" s="646"/>
      <c r="D888" s="647" t="s">
        <v>3706</v>
      </c>
      <c r="E888" s="527">
        <v>41200</v>
      </c>
      <c r="F888" s="527"/>
      <c r="G888" s="525" t="s">
        <v>3705</v>
      </c>
      <c r="H888" s="525"/>
      <c r="I888" s="31"/>
      <c r="J888" s="1233"/>
      <c r="K888" s="31"/>
      <c r="L888" s="21">
        <v>2500</v>
      </c>
      <c r="M888" s="21"/>
      <c r="N888" s="21">
        <f t="shared" si="234"/>
        <v>2500</v>
      </c>
      <c r="O888" s="283"/>
      <c r="P888" s="647" t="s">
        <v>110</v>
      </c>
      <c r="Q888" s="1136" t="s">
        <v>105</v>
      </c>
      <c r="R888" s="963">
        <v>2500</v>
      </c>
      <c r="S888" s="963">
        <v>2500</v>
      </c>
      <c r="T888" s="961"/>
      <c r="U888" s="525"/>
      <c r="V888" s="523" t="s">
        <v>307</v>
      </c>
    </row>
    <row r="889" spans="2:22" ht="30">
      <c r="B889" s="646" t="s">
        <v>314</v>
      </c>
      <c r="C889" s="646"/>
      <c r="D889" s="647" t="s">
        <v>3707</v>
      </c>
      <c r="E889" s="527">
        <v>41200</v>
      </c>
      <c r="F889" s="527"/>
      <c r="G889" s="525" t="s">
        <v>315</v>
      </c>
      <c r="H889" s="525"/>
      <c r="I889" s="31"/>
      <c r="J889" s="1233"/>
      <c r="K889" s="31"/>
      <c r="L889" s="21">
        <v>4000</v>
      </c>
      <c r="M889" s="21"/>
      <c r="N889" s="21">
        <f t="shared" si="234"/>
        <v>4000</v>
      </c>
      <c r="O889" s="283"/>
      <c r="P889" s="647" t="s">
        <v>110</v>
      </c>
      <c r="Q889" s="1136" t="s">
        <v>105</v>
      </c>
      <c r="R889" s="963">
        <v>4000</v>
      </c>
      <c r="S889" s="963">
        <v>4000</v>
      </c>
      <c r="T889" s="961"/>
      <c r="U889" s="525"/>
      <c r="V889" s="523" t="s">
        <v>307</v>
      </c>
    </row>
    <row r="890" spans="2:22" ht="30">
      <c r="B890" s="646" t="s">
        <v>319</v>
      </c>
      <c r="C890" s="646"/>
      <c r="D890" s="647" t="s">
        <v>3709</v>
      </c>
      <c r="E890" s="527">
        <v>41200</v>
      </c>
      <c r="F890" s="527"/>
      <c r="G890" s="525" t="s">
        <v>3708</v>
      </c>
      <c r="H890" s="525"/>
      <c r="I890" s="31"/>
      <c r="J890" s="1233"/>
      <c r="K890" s="31"/>
      <c r="L890" s="21">
        <v>15000</v>
      </c>
      <c r="M890" s="21"/>
      <c r="N890" s="21">
        <f t="shared" si="234"/>
        <v>15000</v>
      </c>
      <c r="O890" s="283"/>
      <c r="P890" s="647" t="s">
        <v>110</v>
      </c>
      <c r="Q890" s="1136" t="s">
        <v>105</v>
      </c>
      <c r="R890" s="963">
        <v>15000</v>
      </c>
      <c r="S890" s="963">
        <v>15000</v>
      </c>
      <c r="T890" s="961"/>
      <c r="U890" s="525"/>
      <c r="V890" s="523" t="s">
        <v>307</v>
      </c>
    </row>
    <row r="891" spans="2:22" ht="30">
      <c r="B891" s="646" t="s">
        <v>321</v>
      </c>
      <c r="C891" s="646"/>
      <c r="D891" s="647" t="s">
        <v>3711</v>
      </c>
      <c r="E891" s="527">
        <v>41200</v>
      </c>
      <c r="F891" s="527"/>
      <c r="G891" s="525" t="s">
        <v>3710</v>
      </c>
      <c r="H891" s="525"/>
      <c r="I891" s="31"/>
      <c r="J891" s="1233"/>
      <c r="K891" s="31"/>
      <c r="L891" s="21">
        <v>300</v>
      </c>
      <c r="M891" s="21"/>
      <c r="N891" s="21">
        <f t="shared" si="234"/>
        <v>300</v>
      </c>
      <c r="O891" s="283"/>
      <c r="P891" s="647" t="s">
        <v>110</v>
      </c>
      <c r="Q891" s="1136" t="s">
        <v>105</v>
      </c>
      <c r="R891" s="963">
        <v>300</v>
      </c>
      <c r="S891" s="963">
        <v>300</v>
      </c>
      <c r="T891" s="961"/>
      <c r="U891" s="525"/>
      <c r="V891" s="523" t="s">
        <v>307</v>
      </c>
    </row>
    <row r="892" spans="2:22" ht="30">
      <c r="B892" s="646" t="s">
        <v>380</v>
      </c>
      <c r="C892" s="646"/>
      <c r="D892" s="647" t="s">
        <v>3712</v>
      </c>
      <c r="E892" s="527">
        <v>41200</v>
      </c>
      <c r="F892" s="527"/>
      <c r="G892" s="525" t="s">
        <v>315</v>
      </c>
      <c r="H892" s="525"/>
      <c r="I892" s="31"/>
      <c r="J892" s="1233"/>
      <c r="K892" s="31"/>
      <c r="L892" s="21">
        <v>3400</v>
      </c>
      <c r="M892" s="21"/>
      <c r="N892" s="21">
        <f t="shared" si="234"/>
        <v>3400</v>
      </c>
      <c r="O892" s="283"/>
      <c r="P892" s="647" t="s">
        <v>110</v>
      </c>
      <c r="Q892" s="1136" t="s">
        <v>105</v>
      </c>
      <c r="R892" s="70"/>
      <c r="S892" s="70"/>
      <c r="T892" s="961"/>
      <c r="U892" s="525"/>
      <c r="V892" s="523" t="s">
        <v>307</v>
      </c>
    </row>
    <row r="893" spans="2:22">
      <c r="B893" s="648" t="s">
        <v>3713</v>
      </c>
      <c r="C893" s="648"/>
      <c r="D893" s="649"/>
      <c r="E893" s="444"/>
      <c r="F893" s="444"/>
      <c r="G893" s="42"/>
      <c r="H893" s="42"/>
      <c r="L893" s="283"/>
      <c r="M893" s="283"/>
      <c r="N893" s="283"/>
      <c r="O893" s="283"/>
      <c r="P893" s="525"/>
      <c r="Q893" s="21"/>
      <c r="R893" s="1015">
        <v>200</v>
      </c>
      <c r="S893" s="1015">
        <v>200</v>
      </c>
      <c r="T893" s="962">
        <v>75</v>
      </c>
      <c r="U893" s="42"/>
      <c r="V893" s="288"/>
    </row>
    <row r="894" spans="2:22">
      <c r="B894" s="648" t="s">
        <v>3714</v>
      </c>
      <c r="C894" s="648"/>
      <c r="D894" s="649"/>
      <c r="E894" s="444"/>
      <c r="F894" s="444"/>
      <c r="G894" s="42"/>
      <c r="H894" s="42"/>
      <c r="L894" s="283"/>
      <c r="M894" s="283"/>
      <c r="N894" s="283"/>
      <c r="O894" s="283"/>
      <c r="P894" s="525"/>
      <c r="Q894" s="21"/>
      <c r="R894" s="1015">
        <v>200</v>
      </c>
      <c r="S894" s="1015">
        <v>200</v>
      </c>
      <c r="T894" s="962">
        <v>200</v>
      </c>
      <c r="U894" s="42"/>
      <c r="V894" s="288"/>
    </row>
    <row r="895" spans="2:22">
      <c r="B895" s="648" t="s">
        <v>3715</v>
      </c>
      <c r="C895" s="648"/>
      <c r="D895" s="649"/>
      <c r="E895" s="444"/>
      <c r="F895" s="444"/>
      <c r="G895" s="42"/>
      <c r="H895" s="42"/>
      <c r="L895" s="283"/>
      <c r="M895" s="283"/>
      <c r="N895" s="283"/>
      <c r="O895" s="283"/>
      <c r="P895" s="525"/>
      <c r="Q895" s="21"/>
      <c r="R895" s="1015">
        <v>200</v>
      </c>
      <c r="S895" s="1015">
        <v>200</v>
      </c>
      <c r="T895" s="962"/>
      <c r="U895" s="42"/>
      <c r="V895" s="288"/>
    </row>
    <row r="896" spans="2:22">
      <c r="B896" s="648" t="s">
        <v>3716</v>
      </c>
      <c r="C896" s="648"/>
      <c r="D896" s="649"/>
      <c r="E896" s="444"/>
      <c r="F896" s="444"/>
      <c r="G896" s="42"/>
      <c r="H896" s="42"/>
      <c r="L896" s="283"/>
      <c r="M896" s="283"/>
      <c r="N896" s="283"/>
      <c r="O896" s="283"/>
      <c r="P896" s="525"/>
      <c r="Q896" s="21"/>
      <c r="R896" s="1015">
        <v>200</v>
      </c>
      <c r="S896" s="1015">
        <v>200</v>
      </c>
      <c r="T896" s="962"/>
      <c r="U896" s="42"/>
      <c r="V896" s="288"/>
    </row>
    <row r="897" spans="2:22">
      <c r="B897" s="648" t="s">
        <v>3717</v>
      </c>
      <c r="C897" s="648"/>
      <c r="D897" s="649"/>
      <c r="E897" s="444"/>
      <c r="F897" s="444"/>
      <c r="G897" s="42"/>
      <c r="H897" s="42"/>
      <c r="L897" s="283"/>
      <c r="M897" s="283"/>
      <c r="N897" s="283"/>
      <c r="O897" s="283"/>
      <c r="P897" s="525"/>
      <c r="Q897" s="21"/>
      <c r="R897" s="1015">
        <v>200</v>
      </c>
      <c r="S897" s="1015">
        <v>200</v>
      </c>
      <c r="T897" s="962"/>
      <c r="U897" s="42"/>
      <c r="V897" s="288"/>
    </row>
    <row r="898" spans="2:22">
      <c r="B898" s="648" t="s">
        <v>3718</v>
      </c>
      <c r="C898" s="648"/>
      <c r="D898" s="649"/>
      <c r="E898" s="444"/>
      <c r="F898" s="444"/>
      <c r="G898" s="42"/>
      <c r="H898" s="42"/>
      <c r="L898" s="283"/>
      <c r="M898" s="283"/>
      <c r="N898" s="283"/>
      <c r="O898" s="283"/>
      <c r="P898" s="525"/>
      <c r="Q898" s="21"/>
      <c r="R898" s="1015">
        <v>200</v>
      </c>
      <c r="S898" s="1015">
        <v>200</v>
      </c>
      <c r="T898" s="962"/>
      <c r="U898" s="42"/>
      <c r="V898" s="288"/>
    </row>
    <row r="899" spans="2:22">
      <c r="B899" s="648" t="s">
        <v>3719</v>
      </c>
      <c r="C899" s="648"/>
      <c r="D899" s="649"/>
      <c r="E899" s="444"/>
      <c r="F899" s="444"/>
      <c r="G899" s="42"/>
      <c r="H899" s="42"/>
      <c r="L899" s="283"/>
      <c r="M899" s="283"/>
      <c r="N899" s="283"/>
      <c r="O899" s="283"/>
      <c r="P899" s="525"/>
      <c r="Q899" s="21"/>
      <c r="R899" s="1015">
        <v>200</v>
      </c>
      <c r="S899" s="1015">
        <v>200</v>
      </c>
      <c r="T899" s="962"/>
      <c r="U899" s="42"/>
      <c r="V899" s="288"/>
    </row>
    <row r="900" spans="2:22">
      <c r="B900" s="648" t="s">
        <v>3720</v>
      </c>
      <c r="C900" s="648"/>
      <c r="D900" s="649"/>
      <c r="E900" s="444"/>
      <c r="F900" s="444"/>
      <c r="G900" s="42"/>
      <c r="H900" s="42"/>
      <c r="L900" s="283"/>
      <c r="M900" s="283"/>
      <c r="N900" s="283"/>
      <c r="O900" s="283"/>
      <c r="P900" s="525"/>
      <c r="Q900" s="21"/>
      <c r="R900" s="1015">
        <v>200</v>
      </c>
      <c r="S900" s="1015">
        <v>200</v>
      </c>
      <c r="T900" s="962"/>
      <c r="U900" s="42"/>
      <c r="V900" s="288"/>
    </row>
    <row r="901" spans="2:22">
      <c r="B901" s="648" t="s">
        <v>3721</v>
      </c>
      <c r="C901" s="648"/>
      <c r="D901" s="649"/>
      <c r="E901" s="444"/>
      <c r="F901" s="444"/>
      <c r="G901" s="42"/>
      <c r="H901" s="42"/>
      <c r="L901" s="283"/>
      <c r="M901" s="283"/>
      <c r="N901" s="283"/>
      <c r="O901" s="283"/>
      <c r="P901" s="525"/>
      <c r="Q901" s="21"/>
      <c r="R901" s="1015">
        <v>200</v>
      </c>
      <c r="S901" s="1015">
        <v>200</v>
      </c>
      <c r="T901" s="962"/>
      <c r="U901" s="42"/>
      <c r="V901" s="288"/>
    </row>
    <row r="902" spans="2:22">
      <c r="B902" s="648" t="s">
        <v>3722</v>
      </c>
      <c r="C902" s="648"/>
      <c r="D902" s="649"/>
      <c r="E902" s="444"/>
      <c r="F902" s="444"/>
      <c r="G902" s="42"/>
      <c r="H902" s="42"/>
      <c r="L902" s="283"/>
      <c r="M902" s="283"/>
      <c r="N902" s="283"/>
      <c r="O902" s="283"/>
      <c r="P902" s="525"/>
      <c r="Q902" s="21"/>
      <c r="R902" s="1015">
        <v>200</v>
      </c>
      <c r="S902" s="1015">
        <v>200</v>
      </c>
      <c r="T902" s="962"/>
      <c r="U902" s="42"/>
      <c r="V902" s="288"/>
    </row>
    <row r="903" spans="2:22">
      <c r="B903" s="648" t="s">
        <v>3723</v>
      </c>
      <c r="C903" s="648"/>
      <c r="D903" s="649"/>
      <c r="E903" s="444"/>
      <c r="F903" s="444"/>
      <c r="G903" s="42"/>
      <c r="H903" s="42"/>
      <c r="L903" s="283"/>
      <c r="M903" s="283"/>
      <c r="N903" s="283"/>
      <c r="O903" s="283"/>
      <c r="P903" s="525"/>
      <c r="Q903" s="21"/>
      <c r="R903" s="1015">
        <v>200</v>
      </c>
      <c r="S903" s="1015">
        <v>200</v>
      </c>
      <c r="T903" s="962"/>
      <c r="U903" s="42"/>
      <c r="V903" s="288"/>
    </row>
    <row r="904" spans="2:22">
      <c r="B904" s="648" t="s">
        <v>3724</v>
      </c>
      <c r="C904" s="648"/>
      <c r="D904" s="649"/>
      <c r="E904" s="444"/>
      <c r="F904" s="444"/>
      <c r="G904" s="42"/>
      <c r="H904" s="42"/>
      <c r="L904" s="283"/>
      <c r="M904" s="283"/>
      <c r="N904" s="283"/>
      <c r="O904" s="283"/>
      <c r="P904" s="525"/>
      <c r="Q904" s="21"/>
      <c r="R904" s="1015">
        <v>200</v>
      </c>
      <c r="S904" s="1015">
        <v>200</v>
      </c>
      <c r="T904" s="962"/>
      <c r="U904" s="42"/>
      <c r="V904" s="288"/>
    </row>
    <row r="905" spans="2:22">
      <c r="B905" s="648" t="s">
        <v>3725</v>
      </c>
      <c r="C905" s="648"/>
      <c r="D905" s="649"/>
      <c r="E905" s="444"/>
      <c r="F905" s="444"/>
      <c r="G905" s="42"/>
      <c r="H905" s="42"/>
      <c r="L905" s="283"/>
      <c r="M905" s="283"/>
      <c r="N905" s="283"/>
      <c r="O905" s="283"/>
      <c r="P905" s="525"/>
      <c r="Q905" s="21"/>
      <c r="R905" s="1015">
        <v>200</v>
      </c>
      <c r="S905" s="1015">
        <v>200</v>
      </c>
      <c r="T905" s="962"/>
      <c r="U905" s="42"/>
      <c r="V905" s="288"/>
    </row>
    <row r="906" spans="2:22">
      <c r="B906" s="648" t="s">
        <v>3726</v>
      </c>
      <c r="C906" s="648"/>
      <c r="D906" s="649"/>
      <c r="E906" s="444"/>
      <c r="F906" s="444"/>
      <c r="G906" s="42"/>
      <c r="H906" s="42"/>
      <c r="L906" s="283"/>
      <c r="M906" s="283"/>
      <c r="N906" s="283"/>
      <c r="O906" s="283"/>
      <c r="P906" s="525"/>
      <c r="Q906" s="21"/>
      <c r="R906" s="1015">
        <v>200</v>
      </c>
      <c r="S906" s="1015">
        <v>200</v>
      </c>
      <c r="T906" s="962"/>
      <c r="U906" s="42"/>
      <c r="V906" s="288"/>
    </row>
    <row r="907" spans="2:22">
      <c r="B907" s="648" t="s">
        <v>3727</v>
      </c>
      <c r="C907" s="648"/>
      <c r="D907" s="649"/>
      <c r="E907" s="444"/>
      <c r="F907" s="444"/>
      <c r="G907" s="42"/>
      <c r="H907" s="42"/>
      <c r="L907" s="283"/>
      <c r="M907" s="283"/>
      <c r="N907" s="283"/>
      <c r="O907" s="283"/>
      <c r="P907" s="525"/>
      <c r="Q907" s="21"/>
      <c r="R907" s="1015">
        <v>200</v>
      </c>
      <c r="S907" s="1015">
        <v>200</v>
      </c>
      <c r="T907" s="962"/>
      <c r="U907" s="42"/>
      <c r="V907" s="288"/>
    </row>
    <row r="908" spans="2:22">
      <c r="B908" s="648" t="s">
        <v>3728</v>
      </c>
      <c r="C908" s="648"/>
      <c r="D908" s="649"/>
      <c r="E908" s="444"/>
      <c r="F908" s="444"/>
      <c r="G908" s="42"/>
      <c r="H908" s="42"/>
      <c r="L908" s="283"/>
      <c r="M908" s="283"/>
      <c r="N908" s="283"/>
      <c r="O908" s="283"/>
      <c r="P908" s="525"/>
      <c r="Q908" s="21"/>
      <c r="R908" s="1015">
        <v>200</v>
      </c>
      <c r="S908" s="1015">
        <v>200</v>
      </c>
      <c r="T908" s="962"/>
      <c r="U908" s="42"/>
      <c r="V908" s="288"/>
    </row>
    <row r="909" spans="2:22">
      <c r="B909" s="648" t="s">
        <v>3729</v>
      </c>
      <c r="C909" s="648"/>
      <c r="D909" s="649"/>
      <c r="E909" s="444"/>
      <c r="F909" s="444"/>
      <c r="G909" s="42"/>
      <c r="H909" s="42"/>
      <c r="L909" s="283"/>
      <c r="M909" s="283"/>
      <c r="N909" s="283"/>
      <c r="O909" s="283"/>
      <c r="P909" s="525"/>
      <c r="Q909" s="21"/>
      <c r="R909" s="1015">
        <v>200</v>
      </c>
      <c r="S909" s="1015">
        <v>200</v>
      </c>
      <c r="T909" s="962"/>
      <c r="U909" s="42"/>
      <c r="V909" s="288"/>
    </row>
    <row r="910" spans="2:22" ht="30">
      <c r="B910" s="646" t="s">
        <v>331</v>
      </c>
      <c r="C910" s="646"/>
      <c r="D910" s="647" t="s">
        <v>3730</v>
      </c>
      <c r="E910" s="527">
        <v>41200</v>
      </c>
      <c r="F910" s="527"/>
      <c r="G910" s="525" t="s">
        <v>1965</v>
      </c>
      <c r="H910" s="525"/>
      <c r="I910" s="31"/>
      <c r="J910" s="1233"/>
      <c r="K910" s="31"/>
      <c r="L910" s="21">
        <v>10000</v>
      </c>
      <c r="M910" s="21"/>
      <c r="N910" s="21">
        <f t="shared" si="234"/>
        <v>10000</v>
      </c>
      <c r="O910" s="283"/>
      <c r="P910" s="647" t="s">
        <v>110</v>
      </c>
      <c r="Q910" s="1136" t="s">
        <v>105</v>
      </c>
      <c r="R910" s="963">
        <v>10000</v>
      </c>
      <c r="S910" s="963">
        <v>10000</v>
      </c>
      <c r="T910" s="961"/>
      <c r="U910" s="525"/>
      <c r="V910" s="523" t="s">
        <v>307</v>
      </c>
    </row>
    <row r="911" spans="2:22" ht="30">
      <c r="B911" s="646" t="s">
        <v>308</v>
      </c>
      <c r="C911" s="646"/>
      <c r="D911" s="647" t="s">
        <v>3731</v>
      </c>
      <c r="E911" s="651">
        <v>41200</v>
      </c>
      <c r="F911" s="651"/>
      <c r="G911" s="525" t="s">
        <v>3660</v>
      </c>
      <c r="H911" s="525"/>
      <c r="I911" s="31"/>
      <c r="J911" s="1233"/>
      <c r="K911" s="31"/>
      <c r="L911" s="21">
        <v>3980</v>
      </c>
      <c r="M911" s="21"/>
      <c r="N911" s="21">
        <f t="shared" si="234"/>
        <v>3980</v>
      </c>
      <c r="O911" s="283"/>
      <c r="P911" s="647" t="s">
        <v>110</v>
      </c>
      <c r="Q911" s="1136" t="s">
        <v>105</v>
      </c>
      <c r="R911" s="70"/>
      <c r="S911" s="70"/>
      <c r="T911" s="961"/>
      <c r="U911" s="525"/>
      <c r="V911" s="523" t="s">
        <v>307</v>
      </c>
    </row>
    <row r="912" spans="2:22" ht="90">
      <c r="B912" s="650" t="s">
        <v>3732</v>
      </c>
      <c r="C912" s="648"/>
      <c r="D912" s="649"/>
      <c r="E912" s="531"/>
      <c r="F912" s="531"/>
      <c r="G912" s="42"/>
      <c r="H912" s="42"/>
      <c r="L912" s="283"/>
      <c r="M912" s="283"/>
      <c r="N912" s="283"/>
      <c r="O912" s="283"/>
      <c r="P912" s="525"/>
      <c r="Q912" s="21"/>
      <c r="R912" s="1015">
        <v>750</v>
      </c>
      <c r="S912" s="1015">
        <v>750</v>
      </c>
      <c r="T912" s="961" t="s">
        <v>4646</v>
      </c>
      <c r="U912" s="42"/>
      <c r="V912" s="288"/>
    </row>
    <row r="913" spans="2:22" ht="90">
      <c r="B913" s="650" t="s">
        <v>3733</v>
      </c>
      <c r="C913" s="648"/>
      <c r="D913" s="649"/>
      <c r="E913" s="531"/>
      <c r="F913" s="531"/>
      <c r="G913" s="42"/>
      <c r="H913" s="42"/>
      <c r="L913" s="283"/>
      <c r="M913" s="283"/>
      <c r="N913" s="283"/>
      <c r="O913" s="283"/>
      <c r="P913" s="525"/>
      <c r="Q913" s="21"/>
      <c r="R913" s="1015">
        <v>430</v>
      </c>
      <c r="S913" s="1015">
        <v>430</v>
      </c>
      <c r="T913" s="961" t="s">
        <v>4646</v>
      </c>
      <c r="U913" s="42"/>
      <c r="V913" s="288"/>
    </row>
    <row r="914" spans="2:22" ht="90">
      <c r="B914" s="650" t="s">
        <v>3734</v>
      </c>
      <c r="C914" s="648"/>
      <c r="D914" s="649"/>
      <c r="E914" s="531"/>
      <c r="F914" s="531"/>
      <c r="G914" s="42"/>
      <c r="H914" s="42"/>
      <c r="L914" s="283"/>
      <c r="M914" s="283"/>
      <c r="N914" s="283"/>
      <c r="O914" s="283"/>
      <c r="P914" s="525"/>
      <c r="Q914" s="21"/>
      <c r="R914" s="1015">
        <v>650</v>
      </c>
      <c r="S914" s="1015">
        <v>650</v>
      </c>
      <c r="T914" s="961" t="s">
        <v>4646</v>
      </c>
      <c r="U914" s="42"/>
      <c r="V914" s="288"/>
    </row>
    <row r="915" spans="2:22" ht="90">
      <c r="B915" s="650" t="s">
        <v>3735</v>
      </c>
      <c r="C915" s="648"/>
      <c r="D915" s="649"/>
      <c r="E915" s="531"/>
      <c r="F915" s="531"/>
      <c r="G915" s="42"/>
      <c r="H915" s="42"/>
      <c r="L915" s="283"/>
      <c r="M915" s="283"/>
      <c r="N915" s="283"/>
      <c r="O915" s="283"/>
      <c r="P915" s="525"/>
      <c r="Q915" s="21"/>
      <c r="R915" s="1015">
        <v>1500</v>
      </c>
      <c r="S915" s="1015">
        <v>1500</v>
      </c>
      <c r="T915" s="961" t="s">
        <v>4646</v>
      </c>
      <c r="U915" s="42"/>
      <c r="V915" s="288"/>
    </row>
    <row r="916" spans="2:22" ht="90">
      <c r="B916" s="650" t="s">
        <v>3736</v>
      </c>
      <c r="C916" s="648"/>
      <c r="D916" s="649"/>
      <c r="E916" s="531"/>
      <c r="F916" s="531"/>
      <c r="G916" s="42"/>
      <c r="H916" s="42"/>
      <c r="L916" s="283"/>
      <c r="M916" s="283"/>
      <c r="N916" s="283"/>
      <c r="O916" s="283"/>
      <c r="P916" s="525"/>
      <c r="Q916" s="21"/>
      <c r="R916" s="1015">
        <v>650</v>
      </c>
      <c r="S916" s="1015">
        <v>650</v>
      </c>
      <c r="T916" s="961" t="s">
        <v>4646</v>
      </c>
      <c r="U916" s="42"/>
      <c r="V916" s="288"/>
    </row>
    <row r="917" spans="2:22" ht="30">
      <c r="B917" s="652" t="s">
        <v>343</v>
      </c>
      <c r="C917" s="652"/>
      <c r="D917" s="647" t="s">
        <v>3737</v>
      </c>
      <c r="E917" s="527">
        <v>41200</v>
      </c>
      <c r="F917" s="527"/>
      <c r="G917" s="525" t="s">
        <v>2425</v>
      </c>
      <c r="H917" s="525"/>
      <c r="I917" s="31"/>
      <c r="J917" s="1233"/>
      <c r="K917" s="31"/>
      <c r="L917" s="21">
        <v>2200</v>
      </c>
      <c r="M917" s="21"/>
      <c r="N917" s="21">
        <f t="shared" si="234"/>
        <v>2200</v>
      </c>
      <c r="O917" s="283"/>
      <c r="P917" s="647" t="s">
        <v>110</v>
      </c>
      <c r="Q917" s="1136" t="s">
        <v>105</v>
      </c>
      <c r="R917" s="963">
        <v>2200</v>
      </c>
      <c r="S917" s="963">
        <v>2200</v>
      </c>
      <c r="T917" s="961"/>
      <c r="U917" s="525"/>
      <c r="V917" s="523" t="s">
        <v>307</v>
      </c>
    </row>
    <row r="918" spans="2:22" ht="30">
      <c r="B918" s="652" t="s">
        <v>2651</v>
      </c>
      <c r="C918" s="652"/>
      <c r="D918" s="647" t="s">
        <v>3739</v>
      </c>
      <c r="E918" s="527">
        <v>41204</v>
      </c>
      <c r="F918" s="527"/>
      <c r="G918" s="525" t="s">
        <v>3738</v>
      </c>
      <c r="H918" s="525"/>
      <c r="I918" s="31"/>
      <c r="J918" s="1233"/>
      <c r="K918" s="31"/>
      <c r="L918" s="21">
        <v>1000</v>
      </c>
      <c r="M918" s="21"/>
      <c r="N918" s="21">
        <f t="shared" si="234"/>
        <v>1000</v>
      </c>
      <c r="O918" s="283"/>
      <c r="P918" s="647" t="s">
        <v>110</v>
      </c>
      <c r="Q918" s="1136" t="s">
        <v>105</v>
      </c>
      <c r="R918" s="963">
        <v>1000</v>
      </c>
      <c r="S918" s="963">
        <v>1000</v>
      </c>
      <c r="T918" s="961"/>
      <c r="U918" s="525"/>
      <c r="V918" s="523" t="s">
        <v>307</v>
      </c>
    </row>
    <row r="919" spans="2:22" ht="30">
      <c r="B919" s="652" t="s">
        <v>2651</v>
      </c>
      <c r="C919" s="652"/>
      <c r="D919" s="647" t="s">
        <v>3741</v>
      </c>
      <c r="E919" s="527">
        <v>41204</v>
      </c>
      <c r="F919" s="527"/>
      <c r="G919" s="525" t="s">
        <v>3740</v>
      </c>
      <c r="H919" s="525"/>
      <c r="I919" s="31"/>
      <c r="J919" s="1233"/>
      <c r="K919" s="31"/>
      <c r="L919" s="21">
        <v>3750</v>
      </c>
      <c r="M919" s="21"/>
      <c r="N919" s="21">
        <f t="shared" si="234"/>
        <v>3750</v>
      </c>
      <c r="O919" s="283"/>
      <c r="P919" s="647" t="s">
        <v>110</v>
      </c>
      <c r="Q919" s="1136" t="s">
        <v>105</v>
      </c>
      <c r="R919" s="963">
        <v>3750</v>
      </c>
      <c r="S919" s="963">
        <v>3750</v>
      </c>
      <c r="T919" s="961"/>
      <c r="U919" s="525"/>
      <c r="V919" s="523" t="s">
        <v>307</v>
      </c>
    </row>
    <row r="920" spans="2:22" ht="30">
      <c r="B920" s="652" t="s">
        <v>321</v>
      </c>
      <c r="C920" s="652"/>
      <c r="D920" s="647" t="s">
        <v>3743</v>
      </c>
      <c r="E920" s="527">
        <v>41204</v>
      </c>
      <c r="F920" s="527"/>
      <c r="G920" s="525" t="s">
        <v>3742</v>
      </c>
      <c r="H920" s="525"/>
      <c r="I920" s="31"/>
      <c r="J920" s="1233"/>
      <c r="K920" s="31"/>
      <c r="L920" s="21">
        <v>7500</v>
      </c>
      <c r="M920" s="21"/>
      <c r="N920" s="21">
        <f t="shared" si="234"/>
        <v>7500</v>
      </c>
      <c r="O920" s="283"/>
      <c r="P920" s="647" t="s">
        <v>110</v>
      </c>
      <c r="Q920" s="1136" t="s">
        <v>105</v>
      </c>
      <c r="R920" s="963">
        <v>7500</v>
      </c>
      <c r="S920" s="963">
        <v>7500</v>
      </c>
      <c r="T920" s="961"/>
      <c r="U920" s="525"/>
      <c r="V920" s="523" t="s">
        <v>307</v>
      </c>
    </row>
    <row r="921" spans="2:22" ht="30">
      <c r="B921" s="652" t="s">
        <v>337</v>
      </c>
      <c r="C921" s="652"/>
      <c r="D921" s="647" t="s">
        <v>3744</v>
      </c>
      <c r="E921" s="527">
        <v>41221</v>
      </c>
      <c r="F921" s="527"/>
      <c r="G921" s="525" t="s">
        <v>315</v>
      </c>
      <c r="H921" s="525"/>
      <c r="I921" s="31"/>
      <c r="J921" s="1233"/>
      <c r="K921" s="31"/>
      <c r="L921" s="21">
        <v>5000</v>
      </c>
      <c r="M921" s="21"/>
      <c r="N921" s="21">
        <f t="shared" si="234"/>
        <v>5000</v>
      </c>
      <c r="O921" s="283"/>
      <c r="P921" s="647" t="s">
        <v>110</v>
      </c>
      <c r="Q921" s="1136" t="s">
        <v>105</v>
      </c>
      <c r="R921" s="963">
        <v>5000</v>
      </c>
      <c r="S921" s="963">
        <v>5000</v>
      </c>
      <c r="T921" s="961"/>
      <c r="U921" s="525"/>
      <c r="V921" s="523" t="s">
        <v>307</v>
      </c>
    </row>
    <row r="922" spans="2:22" ht="30">
      <c r="B922" s="652" t="s">
        <v>319</v>
      </c>
      <c r="C922" s="652"/>
      <c r="D922" s="647" t="s">
        <v>3746</v>
      </c>
      <c r="E922" s="527">
        <v>41225</v>
      </c>
      <c r="F922" s="527"/>
      <c r="G922" s="525" t="s">
        <v>3745</v>
      </c>
      <c r="H922" s="525"/>
      <c r="I922" s="31"/>
      <c r="J922" s="1233"/>
      <c r="K922" s="31"/>
      <c r="L922" s="21">
        <v>5000</v>
      </c>
      <c r="M922" s="21"/>
      <c r="N922" s="21">
        <f t="shared" si="234"/>
        <v>5000</v>
      </c>
      <c r="O922" s="283"/>
      <c r="P922" s="647" t="s">
        <v>110</v>
      </c>
      <c r="Q922" s="1136" t="s">
        <v>105</v>
      </c>
      <c r="R922" s="963">
        <v>5000</v>
      </c>
      <c r="S922" s="963">
        <v>5000</v>
      </c>
      <c r="T922" s="961"/>
      <c r="U922" s="525"/>
      <c r="V922" s="523" t="s">
        <v>307</v>
      </c>
    </row>
    <row r="923" spans="2:22" ht="30">
      <c r="B923" s="652" t="s">
        <v>314</v>
      </c>
      <c r="C923" s="652"/>
      <c r="D923" s="647" t="s">
        <v>3747</v>
      </c>
      <c r="E923" s="527">
        <v>41225</v>
      </c>
      <c r="F923" s="527"/>
      <c r="G923" s="525" t="s">
        <v>3505</v>
      </c>
      <c r="H923" s="525"/>
      <c r="I923" s="31"/>
      <c r="J923" s="1233"/>
      <c r="K923" s="31"/>
      <c r="L923" s="21">
        <v>3800</v>
      </c>
      <c r="M923" s="21"/>
      <c r="N923" s="21">
        <f t="shared" si="234"/>
        <v>3800</v>
      </c>
      <c r="O923" s="283"/>
      <c r="P923" s="647" t="s">
        <v>110</v>
      </c>
      <c r="Q923" s="1136" t="s">
        <v>105</v>
      </c>
      <c r="R923" s="1016" t="s">
        <v>3748</v>
      </c>
      <c r="S923" s="1016"/>
      <c r="T923" s="961"/>
      <c r="U923" s="525"/>
      <c r="V923" s="523" t="s">
        <v>307</v>
      </c>
    </row>
    <row r="924" spans="2:22" ht="30">
      <c r="B924" s="652" t="s">
        <v>311</v>
      </c>
      <c r="C924" s="652"/>
      <c r="D924" s="647" t="s">
        <v>3749</v>
      </c>
      <c r="E924" s="527">
        <v>41206</v>
      </c>
      <c r="F924" s="527"/>
      <c r="G924" s="525" t="s">
        <v>386</v>
      </c>
      <c r="H924" s="525"/>
      <c r="I924" s="31"/>
      <c r="J924" s="1233"/>
      <c r="K924" s="31"/>
      <c r="L924" s="21">
        <v>7500</v>
      </c>
      <c r="M924" s="21"/>
      <c r="N924" s="21">
        <f t="shared" si="234"/>
        <v>7500</v>
      </c>
      <c r="O924" s="283"/>
      <c r="P924" s="647" t="s">
        <v>110</v>
      </c>
      <c r="Q924" s="1136" t="s">
        <v>105</v>
      </c>
      <c r="R924" s="963">
        <v>7500</v>
      </c>
      <c r="S924" s="963">
        <v>7500</v>
      </c>
      <c r="T924" s="961"/>
      <c r="U924" s="525"/>
      <c r="V924" s="523" t="s">
        <v>307</v>
      </c>
    </row>
    <row r="925" spans="2:22" ht="30">
      <c r="B925" s="652" t="s">
        <v>3521</v>
      </c>
      <c r="C925" s="652"/>
      <c r="D925" s="647" t="s">
        <v>3750</v>
      </c>
      <c r="E925" s="527">
        <v>41206</v>
      </c>
      <c r="F925" s="527"/>
      <c r="G925" s="525" t="s">
        <v>3522</v>
      </c>
      <c r="H925" s="525"/>
      <c r="I925" s="31"/>
      <c r="J925" s="1233"/>
      <c r="K925" s="31"/>
      <c r="L925" s="21">
        <v>7500</v>
      </c>
      <c r="M925" s="21"/>
      <c r="N925" s="21">
        <f t="shared" si="234"/>
        <v>7500</v>
      </c>
      <c r="O925" s="283"/>
      <c r="P925" s="647" t="s">
        <v>110</v>
      </c>
      <c r="Q925" s="1136" t="s">
        <v>105</v>
      </c>
      <c r="R925" s="963">
        <v>7500</v>
      </c>
      <c r="S925" s="963">
        <v>7500</v>
      </c>
      <c r="T925" s="961"/>
      <c r="U925" s="525"/>
      <c r="V925" s="523" t="s">
        <v>307</v>
      </c>
    </row>
    <row r="926" spans="2:22" ht="30">
      <c r="B926" s="652" t="s">
        <v>343</v>
      </c>
      <c r="C926" s="652"/>
      <c r="D926" s="647" t="s">
        <v>3751</v>
      </c>
      <c r="E926" s="527">
        <v>41206</v>
      </c>
      <c r="F926" s="527"/>
      <c r="G926" s="525" t="s">
        <v>3557</v>
      </c>
      <c r="H926" s="525"/>
      <c r="I926" s="31"/>
      <c r="J926" s="1233"/>
      <c r="K926" s="31"/>
      <c r="L926" s="21">
        <v>9000</v>
      </c>
      <c r="M926" s="21"/>
      <c r="N926" s="21">
        <f t="shared" si="234"/>
        <v>9000</v>
      </c>
      <c r="O926" s="283"/>
      <c r="P926" s="647" t="s">
        <v>110</v>
      </c>
      <c r="Q926" s="1136" t="s">
        <v>105</v>
      </c>
      <c r="R926" s="963">
        <v>9000</v>
      </c>
      <c r="S926" s="963">
        <v>9000</v>
      </c>
      <c r="T926" s="961"/>
      <c r="U926" s="525"/>
      <c r="V926" s="523" t="s">
        <v>307</v>
      </c>
    </row>
    <row r="927" spans="2:22" ht="30">
      <c r="B927" s="652" t="s">
        <v>314</v>
      </c>
      <c r="C927" s="652"/>
      <c r="D927" s="647" t="s">
        <v>3752</v>
      </c>
      <c r="E927" s="527">
        <v>41206</v>
      </c>
      <c r="F927" s="527"/>
      <c r="G927" s="525" t="s">
        <v>315</v>
      </c>
      <c r="H927" s="525"/>
      <c r="I927" s="31"/>
      <c r="J927" s="1233"/>
      <c r="K927" s="31"/>
      <c r="L927" s="21">
        <v>7000</v>
      </c>
      <c r="M927" s="21"/>
      <c r="N927" s="21">
        <f t="shared" si="234"/>
        <v>7000</v>
      </c>
      <c r="O927" s="283"/>
      <c r="P927" s="647" t="s">
        <v>110</v>
      </c>
      <c r="Q927" s="1136" t="s">
        <v>105</v>
      </c>
      <c r="R927" s="963"/>
      <c r="S927" s="963"/>
      <c r="T927" s="961"/>
      <c r="U927" s="525"/>
      <c r="V927" s="523" t="s">
        <v>307</v>
      </c>
    </row>
    <row r="928" spans="2:22">
      <c r="B928" s="654" t="s">
        <v>5695</v>
      </c>
      <c r="C928" s="652"/>
      <c r="D928" s="647"/>
      <c r="E928" s="527"/>
      <c r="F928" s="527"/>
      <c r="G928" s="525"/>
      <c r="H928" s="525"/>
      <c r="I928" s="31"/>
      <c r="J928" s="1233"/>
      <c r="K928" s="31"/>
      <c r="L928" s="795"/>
      <c r="M928" s="21"/>
      <c r="N928" s="21">
        <f t="shared" si="234"/>
        <v>0</v>
      </c>
      <c r="O928" s="283"/>
      <c r="P928" s="647"/>
      <c r="Q928" s="1136"/>
      <c r="R928" s="35">
        <v>100</v>
      </c>
      <c r="S928" s="35">
        <v>100</v>
      </c>
      <c r="T928" s="961"/>
      <c r="U928" s="525"/>
      <c r="V928" s="523"/>
    </row>
    <row r="929" spans="2:22">
      <c r="B929" s="654" t="s">
        <v>5694</v>
      </c>
      <c r="C929" s="652"/>
      <c r="D929" s="647"/>
      <c r="E929" s="527"/>
      <c r="F929" s="527"/>
      <c r="G929" s="525"/>
      <c r="H929" s="525"/>
      <c r="I929" s="31"/>
      <c r="J929" s="1233"/>
      <c r="K929" s="31"/>
      <c r="L929" s="795"/>
      <c r="M929" s="21"/>
      <c r="N929" s="21">
        <f t="shared" si="234"/>
        <v>0</v>
      </c>
      <c r="O929" s="283"/>
      <c r="P929" s="647"/>
      <c r="Q929" s="1136"/>
      <c r="R929" s="35">
        <v>6900</v>
      </c>
      <c r="S929" s="35">
        <v>6900</v>
      </c>
      <c r="T929" s="961"/>
      <c r="U929" s="525"/>
      <c r="V929" s="523"/>
    </row>
    <row r="930" spans="2:22" ht="30">
      <c r="B930" s="652" t="s">
        <v>349</v>
      </c>
      <c r="C930" s="652"/>
      <c r="D930" s="647" t="s">
        <v>3753</v>
      </c>
      <c r="E930" s="527">
        <v>41206</v>
      </c>
      <c r="F930" s="527"/>
      <c r="G930" s="525" t="s">
        <v>2231</v>
      </c>
      <c r="H930" s="525"/>
      <c r="I930" s="31"/>
      <c r="J930" s="1233"/>
      <c r="K930" s="31"/>
      <c r="L930" s="21">
        <f>3846900/1000</f>
        <v>3846.9</v>
      </c>
      <c r="M930" s="21"/>
      <c r="N930" s="21">
        <f t="shared" si="234"/>
        <v>3846.9</v>
      </c>
      <c r="O930" s="283"/>
      <c r="P930" s="647" t="s">
        <v>110</v>
      </c>
      <c r="Q930" s="1136" t="s">
        <v>105</v>
      </c>
      <c r="R930" s="70"/>
      <c r="S930" s="70"/>
      <c r="T930" s="961"/>
      <c r="U930" s="525"/>
      <c r="V930" s="523" t="s">
        <v>307</v>
      </c>
    </row>
    <row r="931" spans="2:22">
      <c r="B931" s="648" t="s">
        <v>3754</v>
      </c>
      <c r="C931" s="648"/>
      <c r="D931" s="649"/>
      <c r="E931" s="444"/>
      <c r="F931" s="444"/>
      <c r="G931" s="42"/>
      <c r="H931" s="42"/>
      <c r="L931" s="283"/>
      <c r="M931" s="283"/>
      <c r="N931" s="283"/>
      <c r="O931" s="283"/>
      <c r="P931" s="525"/>
      <c r="Q931" s="21"/>
      <c r="R931" s="1015">
        <v>565</v>
      </c>
      <c r="S931" s="1015">
        <v>565</v>
      </c>
      <c r="T931" s="962"/>
      <c r="U931" s="42"/>
      <c r="V931" s="288"/>
    </row>
    <row r="932" spans="2:22">
      <c r="B932" s="648" t="s">
        <v>3755</v>
      </c>
      <c r="C932" s="648"/>
      <c r="D932" s="649"/>
      <c r="E932" s="444"/>
      <c r="F932" s="444"/>
      <c r="G932" s="42"/>
      <c r="H932" s="42"/>
      <c r="L932" s="283"/>
      <c r="M932" s="283"/>
      <c r="N932" s="283"/>
      <c r="O932" s="283"/>
      <c r="P932" s="525"/>
      <c r="Q932" s="21"/>
      <c r="R932" s="1015">
        <v>565</v>
      </c>
      <c r="S932" s="1015">
        <v>565</v>
      </c>
      <c r="T932" s="962"/>
      <c r="U932" s="42"/>
      <c r="V932" s="288"/>
    </row>
    <row r="933" spans="2:22">
      <c r="B933" s="648" t="s">
        <v>3756</v>
      </c>
      <c r="C933" s="648"/>
      <c r="D933" s="649"/>
      <c r="E933" s="444"/>
      <c r="F933" s="444"/>
      <c r="G933" s="42"/>
      <c r="H933" s="42"/>
      <c r="L933" s="283"/>
      <c r="M933" s="283"/>
      <c r="N933" s="283"/>
      <c r="O933" s="283"/>
      <c r="P933" s="525"/>
      <c r="Q933" s="21"/>
      <c r="R933" s="1015">
        <v>537</v>
      </c>
      <c r="S933" s="1015">
        <v>537</v>
      </c>
      <c r="T933" s="962"/>
      <c r="U933" s="42"/>
      <c r="V933" s="288"/>
    </row>
    <row r="934" spans="2:22">
      <c r="B934" s="648" t="s">
        <v>3757</v>
      </c>
      <c r="C934" s="648"/>
      <c r="D934" s="649"/>
      <c r="E934" s="444"/>
      <c r="F934" s="444"/>
      <c r="G934" s="42"/>
      <c r="H934" s="42"/>
      <c r="L934" s="283"/>
      <c r="M934" s="283"/>
      <c r="N934" s="283"/>
      <c r="O934" s="283"/>
      <c r="P934" s="525"/>
      <c r="Q934" s="21"/>
      <c r="R934" s="1015">
        <v>25</v>
      </c>
      <c r="S934" s="1015">
        <v>25</v>
      </c>
      <c r="T934" s="962"/>
      <c r="U934" s="42"/>
      <c r="V934" s="288"/>
    </row>
    <row r="935" spans="2:22">
      <c r="B935" s="648" t="s">
        <v>3758</v>
      </c>
      <c r="C935" s="648"/>
      <c r="D935" s="649"/>
      <c r="E935" s="444"/>
      <c r="F935" s="444"/>
      <c r="G935" s="42"/>
      <c r="H935" s="42"/>
      <c r="L935" s="283"/>
      <c r="M935" s="283"/>
      <c r="N935" s="283"/>
      <c r="O935" s="283"/>
      <c r="P935" s="525"/>
      <c r="Q935" s="21"/>
      <c r="R935" s="1015">
        <v>23</v>
      </c>
      <c r="S935" s="1015">
        <v>23</v>
      </c>
      <c r="T935" s="962"/>
      <c r="U935" s="42"/>
      <c r="V935" s="288"/>
    </row>
    <row r="936" spans="2:22">
      <c r="B936" s="648" t="s">
        <v>3759</v>
      </c>
      <c r="C936" s="648"/>
      <c r="D936" s="649"/>
      <c r="E936" s="444"/>
      <c r="F936" s="444"/>
      <c r="G936" s="42"/>
      <c r="H936" s="42"/>
      <c r="L936" s="283"/>
      <c r="M936" s="283"/>
      <c r="N936" s="283"/>
      <c r="O936" s="283"/>
      <c r="P936" s="525"/>
      <c r="Q936" s="21"/>
      <c r="R936" s="1015">
        <v>36.75</v>
      </c>
      <c r="S936" s="1015">
        <v>36.75</v>
      </c>
      <c r="T936" s="962"/>
      <c r="U936" s="42"/>
      <c r="V936" s="288"/>
    </row>
    <row r="937" spans="2:22">
      <c r="B937" s="648" t="s">
        <v>3760</v>
      </c>
      <c r="C937" s="648"/>
      <c r="D937" s="649"/>
      <c r="E937" s="444"/>
      <c r="F937" s="444"/>
      <c r="G937" s="42"/>
      <c r="H937" s="42"/>
      <c r="L937" s="283"/>
      <c r="M937" s="283"/>
      <c r="N937" s="283"/>
      <c r="O937" s="283"/>
      <c r="P937" s="525"/>
      <c r="Q937" s="21"/>
      <c r="R937" s="1015">
        <v>7.15</v>
      </c>
      <c r="S937" s="1015">
        <v>7.15</v>
      </c>
      <c r="T937" s="962"/>
      <c r="U937" s="42"/>
      <c r="V937" s="288"/>
    </row>
    <row r="938" spans="2:22">
      <c r="B938" s="648" t="s">
        <v>3761</v>
      </c>
      <c r="C938" s="648"/>
      <c r="D938" s="649"/>
      <c r="E938" s="444"/>
      <c r="F938" s="444"/>
      <c r="G938" s="42"/>
      <c r="H938" s="42"/>
      <c r="L938" s="283"/>
      <c r="M938" s="283"/>
      <c r="N938" s="283"/>
      <c r="O938" s="283"/>
      <c r="P938" s="525"/>
      <c r="Q938" s="21"/>
      <c r="R938" s="1015">
        <v>46</v>
      </c>
      <c r="S938" s="1015">
        <v>46</v>
      </c>
      <c r="T938" s="962"/>
      <c r="U938" s="42"/>
      <c r="V938" s="288"/>
    </row>
    <row r="939" spans="2:22">
      <c r="B939" s="648" t="s">
        <v>3762</v>
      </c>
      <c r="C939" s="648"/>
      <c r="D939" s="649"/>
      <c r="E939" s="444"/>
      <c r="F939" s="444"/>
      <c r="G939" s="42"/>
      <c r="H939" s="42"/>
      <c r="L939" s="283"/>
      <c r="M939" s="283"/>
      <c r="N939" s="283"/>
      <c r="O939" s="283"/>
      <c r="P939" s="525"/>
      <c r="Q939" s="21"/>
      <c r="R939" s="1015">
        <v>38</v>
      </c>
      <c r="S939" s="1015">
        <v>38</v>
      </c>
      <c r="T939" s="962"/>
      <c r="U939" s="42"/>
      <c r="V939" s="288"/>
    </row>
    <row r="940" spans="2:22">
      <c r="B940" s="648" t="s">
        <v>3763</v>
      </c>
      <c r="C940" s="648"/>
      <c r="D940" s="649"/>
      <c r="E940" s="444"/>
      <c r="F940" s="444"/>
      <c r="G940" s="42"/>
      <c r="H940" s="42"/>
      <c r="L940" s="283"/>
      <c r="M940" s="283"/>
      <c r="N940" s="283"/>
      <c r="O940" s="283"/>
      <c r="P940" s="525"/>
      <c r="Q940" s="21"/>
      <c r="R940" s="1015">
        <v>23</v>
      </c>
      <c r="S940" s="1015">
        <v>23</v>
      </c>
      <c r="T940" s="962"/>
      <c r="U940" s="42"/>
      <c r="V940" s="288"/>
    </row>
    <row r="941" spans="2:22">
      <c r="B941" s="648" t="s">
        <v>3764</v>
      </c>
      <c r="C941" s="648"/>
      <c r="D941" s="649"/>
      <c r="E941" s="444"/>
      <c r="F941" s="444"/>
      <c r="G941" s="42"/>
      <c r="H941" s="42"/>
      <c r="L941" s="283"/>
      <c r="M941" s="283"/>
      <c r="N941" s="283"/>
      <c r="O941" s="283"/>
      <c r="P941" s="525"/>
      <c r="Q941" s="21"/>
      <c r="R941" s="1015">
        <v>60.5</v>
      </c>
      <c r="S941" s="1015">
        <v>60.5</v>
      </c>
      <c r="T941" s="962"/>
      <c r="U941" s="42"/>
      <c r="V941" s="288"/>
    </row>
    <row r="942" spans="2:22">
      <c r="B942" s="648" t="s">
        <v>3765</v>
      </c>
      <c r="C942" s="648"/>
      <c r="D942" s="649"/>
      <c r="E942" s="444"/>
      <c r="F942" s="444"/>
      <c r="G942" s="42"/>
      <c r="H942" s="42"/>
      <c r="L942" s="283"/>
      <c r="M942" s="283"/>
      <c r="N942" s="283"/>
      <c r="O942" s="283"/>
      <c r="P942" s="525"/>
      <c r="Q942" s="21"/>
      <c r="R942" s="1015">
        <v>572</v>
      </c>
      <c r="S942" s="1015">
        <v>572</v>
      </c>
      <c r="T942" s="962"/>
      <c r="U942" s="42"/>
      <c r="V942" s="288"/>
    </row>
    <row r="943" spans="2:22">
      <c r="B943" s="648" t="s">
        <v>3766</v>
      </c>
      <c r="C943" s="648"/>
      <c r="D943" s="649"/>
      <c r="E943" s="444"/>
      <c r="F943" s="444"/>
      <c r="G943" s="42"/>
      <c r="H943" s="42"/>
      <c r="L943" s="283"/>
      <c r="M943" s="283"/>
      <c r="N943" s="283"/>
      <c r="O943" s="283"/>
      <c r="P943" s="525"/>
      <c r="Q943" s="21"/>
      <c r="R943" s="1015">
        <v>38</v>
      </c>
      <c r="S943" s="1015">
        <v>38</v>
      </c>
      <c r="T943" s="962"/>
      <c r="U943" s="42"/>
      <c r="V943" s="288"/>
    </row>
    <row r="944" spans="2:22">
      <c r="B944" s="648" t="s">
        <v>3767</v>
      </c>
      <c r="C944" s="648"/>
      <c r="D944" s="649"/>
      <c r="E944" s="444"/>
      <c r="F944" s="444"/>
      <c r="G944" s="42"/>
      <c r="H944" s="42"/>
      <c r="L944" s="283"/>
      <c r="M944" s="283"/>
      <c r="N944" s="283"/>
      <c r="O944" s="283"/>
      <c r="P944" s="525"/>
      <c r="Q944" s="21"/>
      <c r="R944" s="1015">
        <v>61</v>
      </c>
      <c r="S944" s="1015">
        <v>61</v>
      </c>
      <c r="T944" s="962"/>
      <c r="U944" s="42"/>
      <c r="V944" s="288"/>
    </row>
    <row r="945" spans="2:22">
      <c r="B945" s="648" t="s">
        <v>3768</v>
      </c>
      <c r="C945" s="648"/>
      <c r="D945" s="649"/>
      <c r="E945" s="444"/>
      <c r="F945" s="444"/>
      <c r="G945" s="42"/>
      <c r="H945" s="42"/>
      <c r="L945" s="283"/>
      <c r="M945" s="283"/>
      <c r="N945" s="283"/>
      <c r="O945" s="283"/>
      <c r="P945" s="525"/>
      <c r="Q945" s="21"/>
      <c r="R945" s="1015">
        <v>601.75</v>
      </c>
      <c r="S945" s="1015">
        <v>601.75</v>
      </c>
      <c r="T945" s="962"/>
      <c r="U945" s="42"/>
      <c r="V945" s="288"/>
    </row>
    <row r="946" spans="2:22">
      <c r="B946" s="648" t="s">
        <v>3769</v>
      </c>
      <c r="C946" s="648"/>
      <c r="D946" s="649"/>
      <c r="E946" s="444"/>
      <c r="F946" s="444"/>
      <c r="G946" s="42"/>
      <c r="H946" s="42"/>
      <c r="L946" s="283"/>
      <c r="M946" s="283"/>
      <c r="N946" s="283"/>
      <c r="O946" s="283"/>
      <c r="P946" s="525"/>
      <c r="Q946" s="21"/>
      <c r="R946" s="1015"/>
      <c r="S946" s="1015"/>
      <c r="T946" s="962"/>
      <c r="U946" s="42"/>
      <c r="V946" s="288"/>
    </row>
    <row r="947" spans="2:22">
      <c r="B947" s="648" t="s">
        <v>3770</v>
      </c>
      <c r="C947" s="648"/>
      <c r="D947" s="649"/>
      <c r="E947" s="444"/>
      <c r="F947" s="444"/>
      <c r="G947" s="42"/>
      <c r="H947" s="42"/>
      <c r="L947" s="283"/>
      <c r="M947" s="283"/>
      <c r="N947" s="283"/>
      <c r="O947" s="283"/>
      <c r="P947" s="525"/>
      <c r="Q947" s="21"/>
      <c r="R947" s="1015">
        <v>23</v>
      </c>
      <c r="S947" s="1015">
        <v>23</v>
      </c>
      <c r="T947" s="962"/>
      <c r="U947" s="42"/>
      <c r="V947" s="288"/>
    </row>
    <row r="948" spans="2:22">
      <c r="B948" s="648" t="s">
        <v>3771</v>
      </c>
      <c r="C948" s="648"/>
      <c r="D948" s="649"/>
      <c r="E948" s="444"/>
      <c r="F948" s="444"/>
      <c r="G948" s="42"/>
      <c r="H948" s="42"/>
      <c r="L948" s="283"/>
      <c r="M948" s="283"/>
      <c r="N948" s="283"/>
      <c r="O948" s="283"/>
      <c r="P948" s="525"/>
      <c r="Q948" s="21"/>
      <c r="R948" s="1015">
        <v>36.75</v>
      </c>
      <c r="S948" s="1015">
        <v>36.75</v>
      </c>
      <c r="T948" s="962"/>
      <c r="U948" s="42"/>
      <c r="V948" s="288"/>
    </row>
    <row r="949" spans="2:22">
      <c r="B949" s="648" t="s">
        <v>3772</v>
      </c>
      <c r="C949" s="648"/>
      <c r="D949" s="649"/>
      <c r="E949" s="444"/>
      <c r="F949" s="444"/>
      <c r="G949" s="42"/>
      <c r="H949" s="42"/>
      <c r="L949" s="283"/>
      <c r="M949" s="283"/>
      <c r="N949" s="283"/>
      <c r="O949" s="283"/>
      <c r="P949" s="525"/>
      <c r="Q949" s="21"/>
      <c r="R949" s="1015">
        <v>588</v>
      </c>
      <c r="S949" s="1015">
        <v>588</v>
      </c>
      <c r="T949" s="962"/>
      <c r="U949" s="42"/>
      <c r="V949" s="288"/>
    </row>
    <row r="950" spans="2:22" ht="30">
      <c r="B950" s="646" t="s">
        <v>340</v>
      </c>
      <c r="C950" s="646"/>
      <c r="D950" s="647" t="s">
        <v>3774</v>
      </c>
      <c r="E950" s="527">
        <v>41218</v>
      </c>
      <c r="F950" s="527"/>
      <c r="G950" s="525" t="s">
        <v>3773</v>
      </c>
      <c r="H950" s="525"/>
      <c r="I950" s="31"/>
      <c r="J950" s="1233"/>
      <c r="K950" s="31"/>
      <c r="L950" s="21">
        <v>2000</v>
      </c>
      <c r="M950" s="21"/>
      <c r="N950" s="21">
        <f t="shared" ref="N950:N1007" si="235">SUM(L950:M950)</f>
        <v>2000</v>
      </c>
      <c r="O950" s="283"/>
      <c r="P950" s="647" t="s">
        <v>110</v>
      </c>
      <c r="Q950" s="1136" t="s">
        <v>105</v>
      </c>
      <c r="R950" s="963">
        <v>2000</v>
      </c>
      <c r="S950" s="963">
        <v>2000</v>
      </c>
      <c r="T950" s="961"/>
      <c r="U950" s="525"/>
      <c r="V950" s="523" t="s">
        <v>307</v>
      </c>
    </row>
    <row r="951" spans="2:22" ht="30">
      <c r="B951" s="646" t="s">
        <v>314</v>
      </c>
      <c r="C951" s="646"/>
      <c r="D951" s="647" t="s">
        <v>3775</v>
      </c>
      <c r="E951" s="527">
        <v>41218</v>
      </c>
      <c r="F951" s="527"/>
      <c r="G951" s="525" t="s">
        <v>2632</v>
      </c>
      <c r="H951" s="525"/>
      <c r="I951" s="31"/>
      <c r="J951" s="1233"/>
      <c r="K951" s="31"/>
      <c r="L951" s="21">
        <f>28026400/1000</f>
        <v>28026.400000000001</v>
      </c>
      <c r="M951" s="21"/>
      <c r="N951" s="21">
        <f t="shared" si="235"/>
        <v>28026.400000000001</v>
      </c>
      <c r="O951" s="283"/>
      <c r="P951" s="647" t="s">
        <v>110</v>
      </c>
      <c r="Q951" s="1136" t="s">
        <v>105</v>
      </c>
      <c r="R951" s="963">
        <f>28026400/1000</f>
        <v>28026.400000000001</v>
      </c>
      <c r="S951" s="963">
        <f>28026400/1000</f>
        <v>28026.400000000001</v>
      </c>
      <c r="T951" s="961"/>
      <c r="U951" s="525"/>
      <c r="V951" s="523" t="s">
        <v>307</v>
      </c>
    </row>
    <row r="952" spans="2:22" ht="30">
      <c r="B952" s="646" t="s">
        <v>314</v>
      </c>
      <c r="C952" s="646"/>
      <c r="D952" s="647" t="s">
        <v>3777</v>
      </c>
      <c r="E952" s="527">
        <v>41220</v>
      </c>
      <c r="F952" s="527"/>
      <c r="G952" s="525" t="s">
        <v>3776</v>
      </c>
      <c r="H952" s="525"/>
      <c r="I952" s="31"/>
      <c r="J952" s="1233"/>
      <c r="K952" s="31"/>
      <c r="L952" s="21">
        <v>65670</v>
      </c>
      <c r="M952" s="21"/>
      <c r="N952" s="21">
        <f t="shared" si="235"/>
        <v>65670</v>
      </c>
      <c r="O952" s="283"/>
      <c r="P952" s="647" t="s">
        <v>110</v>
      </c>
      <c r="Q952" s="1136" t="s">
        <v>105</v>
      </c>
      <c r="R952" s="963">
        <v>65670</v>
      </c>
      <c r="S952" s="963">
        <v>65670</v>
      </c>
      <c r="T952" s="961"/>
      <c r="U952" s="525"/>
      <c r="V952" s="523" t="s">
        <v>307</v>
      </c>
    </row>
    <row r="953" spans="2:22" ht="45">
      <c r="B953" s="646" t="s">
        <v>343</v>
      </c>
      <c r="C953" s="646"/>
      <c r="D953" s="647" t="s">
        <v>3779</v>
      </c>
      <c r="E953" s="527">
        <v>41221</v>
      </c>
      <c r="F953" s="527"/>
      <c r="G953" s="525" t="s">
        <v>3778</v>
      </c>
      <c r="H953" s="525"/>
      <c r="I953" s="31"/>
      <c r="J953" s="1233"/>
      <c r="K953" s="31"/>
      <c r="L953" s="21">
        <v>1000</v>
      </c>
      <c r="M953" s="21"/>
      <c r="N953" s="21">
        <f t="shared" si="235"/>
        <v>1000</v>
      </c>
      <c r="O953" s="283"/>
      <c r="P953" s="647" t="s">
        <v>110</v>
      </c>
      <c r="Q953" s="1136" t="s">
        <v>105</v>
      </c>
      <c r="R953" s="963">
        <v>1000</v>
      </c>
      <c r="S953" s="963">
        <v>1000</v>
      </c>
      <c r="T953" s="961" t="s">
        <v>4780</v>
      </c>
      <c r="U953" s="525"/>
      <c r="V953" s="523" t="s">
        <v>307</v>
      </c>
    </row>
    <row r="954" spans="2:22" ht="30">
      <c r="B954" s="646" t="s">
        <v>308</v>
      </c>
      <c r="C954" s="646"/>
      <c r="D954" s="647" t="s">
        <v>3780</v>
      </c>
      <c r="E954" s="527">
        <v>41221</v>
      </c>
      <c r="F954" s="527"/>
      <c r="G954" s="525" t="s">
        <v>2573</v>
      </c>
      <c r="H954" s="525"/>
      <c r="I954" s="31"/>
      <c r="J954" s="1233"/>
      <c r="K954" s="31"/>
      <c r="L954" s="21">
        <v>1500</v>
      </c>
      <c r="M954" s="21"/>
      <c r="N954" s="21">
        <f t="shared" si="235"/>
        <v>1500</v>
      </c>
      <c r="O954" s="283"/>
      <c r="P954" s="647" t="s">
        <v>110</v>
      </c>
      <c r="Q954" s="1136" t="s">
        <v>105</v>
      </c>
      <c r="R954" s="963">
        <v>1500</v>
      </c>
      <c r="S954" s="963">
        <v>1500</v>
      </c>
      <c r="T954" s="961"/>
      <c r="U954" s="525"/>
      <c r="V954" s="523" t="s">
        <v>307</v>
      </c>
    </row>
    <row r="955" spans="2:22" ht="30">
      <c r="B955" s="646" t="s">
        <v>311</v>
      </c>
      <c r="C955" s="646"/>
      <c r="D955" s="647" t="s">
        <v>3782</v>
      </c>
      <c r="E955" s="527">
        <v>41221</v>
      </c>
      <c r="F955" s="527"/>
      <c r="G955" s="525" t="s">
        <v>3781</v>
      </c>
      <c r="H955" s="525"/>
      <c r="I955" s="31"/>
      <c r="J955" s="1233"/>
      <c r="K955" s="31"/>
      <c r="L955" s="21">
        <v>1500</v>
      </c>
      <c r="M955" s="21"/>
      <c r="N955" s="21">
        <f t="shared" si="235"/>
        <v>1500</v>
      </c>
      <c r="O955" s="283"/>
      <c r="P955" s="647" t="s">
        <v>110</v>
      </c>
      <c r="Q955" s="1136" t="s">
        <v>105</v>
      </c>
      <c r="R955" s="963">
        <v>1500</v>
      </c>
      <c r="S955" s="963">
        <v>1500</v>
      </c>
      <c r="T955" s="961"/>
      <c r="U955" s="525"/>
      <c r="V955" s="523" t="s">
        <v>307</v>
      </c>
    </row>
    <row r="956" spans="2:22" ht="30">
      <c r="B956" s="646" t="s">
        <v>314</v>
      </c>
      <c r="C956" s="646"/>
      <c r="D956" s="647" t="s">
        <v>3783</v>
      </c>
      <c r="E956" s="527">
        <v>41221</v>
      </c>
      <c r="F956" s="527"/>
      <c r="G956" s="525" t="s">
        <v>315</v>
      </c>
      <c r="H956" s="525"/>
      <c r="I956" s="31"/>
      <c r="J956" s="1233"/>
      <c r="K956" s="31"/>
      <c r="L956" s="21">
        <v>2000</v>
      </c>
      <c r="M956" s="21"/>
      <c r="N956" s="21">
        <f t="shared" si="235"/>
        <v>2000</v>
      </c>
      <c r="O956" s="283"/>
      <c r="P956" s="647" t="s">
        <v>110</v>
      </c>
      <c r="Q956" s="1136" t="s">
        <v>105</v>
      </c>
      <c r="R956" s="963">
        <v>2000</v>
      </c>
      <c r="S956" s="963">
        <v>2000</v>
      </c>
      <c r="T956" s="961"/>
      <c r="U956" s="525"/>
      <c r="V956" s="523" t="s">
        <v>307</v>
      </c>
    </row>
    <row r="957" spans="2:22" ht="30">
      <c r="B957" s="646" t="s">
        <v>380</v>
      </c>
      <c r="C957" s="646"/>
      <c r="D957" s="647" t="s">
        <v>3785</v>
      </c>
      <c r="E957" s="527">
        <v>41221</v>
      </c>
      <c r="F957" s="527"/>
      <c r="G957" s="525" t="s">
        <v>3784</v>
      </c>
      <c r="H957" s="525"/>
      <c r="I957" s="31"/>
      <c r="J957" s="1233"/>
      <c r="K957" s="31"/>
      <c r="L957" s="21">
        <v>7000</v>
      </c>
      <c r="M957" s="21"/>
      <c r="N957" s="21">
        <f t="shared" si="235"/>
        <v>7000</v>
      </c>
      <c r="O957" s="283"/>
      <c r="P957" s="647" t="s">
        <v>110</v>
      </c>
      <c r="Q957" s="1136" t="s">
        <v>105</v>
      </c>
      <c r="R957" s="963">
        <v>7000</v>
      </c>
      <c r="S957" s="963">
        <v>7000</v>
      </c>
      <c r="T957" s="961">
        <v>7000</v>
      </c>
      <c r="U957" s="525"/>
      <c r="V957" s="523" t="s">
        <v>307</v>
      </c>
    </row>
    <row r="958" spans="2:22" ht="30">
      <c r="B958" s="646" t="s">
        <v>331</v>
      </c>
      <c r="C958" s="646"/>
      <c r="D958" s="647" t="s">
        <v>3786</v>
      </c>
      <c r="E958" s="527">
        <v>41221</v>
      </c>
      <c r="F958" s="527"/>
      <c r="G958" s="525" t="s">
        <v>1837</v>
      </c>
      <c r="H958" s="525"/>
      <c r="I958" s="31"/>
      <c r="J958" s="1233"/>
      <c r="K958" s="31"/>
      <c r="L958" s="21">
        <v>700</v>
      </c>
      <c r="M958" s="21"/>
      <c r="N958" s="21">
        <f t="shared" si="235"/>
        <v>700</v>
      </c>
      <c r="O958" s="283"/>
      <c r="P958" s="647" t="s">
        <v>110</v>
      </c>
      <c r="Q958" s="1136" t="s">
        <v>105</v>
      </c>
      <c r="R958" s="963">
        <v>700</v>
      </c>
      <c r="S958" s="963">
        <v>700</v>
      </c>
      <c r="T958" s="961"/>
      <c r="U958" s="525"/>
      <c r="V958" s="523" t="s">
        <v>307</v>
      </c>
    </row>
    <row r="959" spans="2:22" ht="30">
      <c r="B959" s="646" t="s">
        <v>331</v>
      </c>
      <c r="C959" s="646"/>
      <c r="D959" s="647" t="s">
        <v>3787</v>
      </c>
      <c r="E959" s="527">
        <v>41225</v>
      </c>
      <c r="F959" s="527"/>
      <c r="G959" s="525" t="s">
        <v>364</v>
      </c>
      <c r="H959" s="525"/>
      <c r="I959" s="31"/>
      <c r="J959" s="1233"/>
      <c r="K959" s="31"/>
      <c r="L959" s="21">
        <v>9500</v>
      </c>
      <c r="M959" s="21"/>
      <c r="N959" s="21">
        <f t="shared" si="235"/>
        <v>9500</v>
      </c>
      <c r="O959" s="283"/>
      <c r="P959" s="647" t="s">
        <v>110</v>
      </c>
      <c r="Q959" s="1136" t="s">
        <v>105</v>
      </c>
      <c r="R959" s="963">
        <v>9500</v>
      </c>
      <c r="S959" s="963">
        <v>9500</v>
      </c>
      <c r="T959" s="961"/>
      <c r="U959" s="525"/>
      <c r="V959" s="523" t="s">
        <v>307</v>
      </c>
    </row>
    <row r="960" spans="2:22" ht="30">
      <c r="B960" s="646" t="s">
        <v>321</v>
      </c>
      <c r="C960" s="646"/>
      <c r="D960" s="647" t="s">
        <v>3788</v>
      </c>
      <c r="E960" s="527">
        <v>41225</v>
      </c>
      <c r="F960" s="527"/>
      <c r="G960" s="525" t="s">
        <v>315</v>
      </c>
      <c r="H960" s="525"/>
      <c r="I960" s="31"/>
      <c r="J960" s="1233"/>
      <c r="K960" s="31"/>
      <c r="L960" s="21">
        <v>2500</v>
      </c>
      <c r="M960" s="21"/>
      <c r="N960" s="21">
        <f t="shared" si="235"/>
        <v>2500</v>
      </c>
      <c r="O960" s="283"/>
      <c r="P960" s="647" t="s">
        <v>110</v>
      </c>
      <c r="Q960" s="1136" t="s">
        <v>105</v>
      </c>
      <c r="R960" s="1064">
        <f>SUM(R961:R964)</f>
        <v>2500</v>
      </c>
      <c r="S960" s="1064">
        <f>SUM(S961:S964)</f>
        <v>2500</v>
      </c>
      <c r="T960" s="961"/>
      <c r="U960" s="525"/>
      <c r="V960" s="523" t="s">
        <v>307</v>
      </c>
    </row>
    <row r="961" spans="2:22">
      <c r="B961" s="1087" t="s">
        <v>6430</v>
      </c>
      <c r="C961" s="646"/>
      <c r="D961" s="647"/>
      <c r="E961" s="527"/>
      <c r="F961" s="527"/>
      <c r="G961" s="525"/>
      <c r="H961" s="525"/>
      <c r="I961" s="31"/>
      <c r="J961" s="1233"/>
      <c r="K961" s="31"/>
      <c r="L961" s="21"/>
      <c r="M961" s="21"/>
      <c r="N961" s="21"/>
      <c r="O961" s="283"/>
      <c r="P961" s="647"/>
      <c r="Q961" s="1136"/>
      <c r="R961" s="21">
        <v>1000</v>
      </c>
      <c r="S961" s="21">
        <v>1000</v>
      </c>
      <c r="T961" s="525"/>
      <c r="U961" s="525"/>
      <c r="V961" s="523"/>
    </row>
    <row r="962" spans="2:22">
      <c r="B962" s="1087" t="s">
        <v>6431</v>
      </c>
      <c r="C962" s="646"/>
      <c r="D962" s="647"/>
      <c r="E962" s="527"/>
      <c r="F962" s="527"/>
      <c r="G962" s="525"/>
      <c r="H962" s="525"/>
      <c r="I962" s="31"/>
      <c r="J962" s="1233"/>
      <c r="K962" s="31"/>
      <c r="L962" s="21"/>
      <c r="M962" s="21"/>
      <c r="N962" s="21"/>
      <c r="O962" s="283"/>
      <c r="P962" s="647"/>
      <c r="Q962" s="1136"/>
      <c r="R962" s="21">
        <v>500</v>
      </c>
      <c r="S962" s="21">
        <v>500</v>
      </c>
      <c r="T962" s="525"/>
      <c r="U962" s="525"/>
      <c r="V962" s="523"/>
    </row>
    <row r="963" spans="2:22">
      <c r="B963" s="1087" t="s">
        <v>6432</v>
      </c>
      <c r="C963" s="646"/>
      <c r="D963" s="647"/>
      <c r="E963" s="527"/>
      <c r="F963" s="527"/>
      <c r="G963" s="525"/>
      <c r="H963" s="525"/>
      <c r="I963" s="31"/>
      <c r="J963" s="1233"/>
      <c r="K963" s="31"/>
      <c r="L963" s="21"/>
      <c r="M963" s="21"/>
      <c r="N963" s="21"/>
      <c r="O963" s="283"/>
      <c r="P963" s="647"/>
      <c r="Q963" s="1136"/>
      <c r="R963" s="21">
        <v>500</v>
      </c>
      <c r="S963" s="21">
        <v>500</v>
      </c>
      <c r="T963" s="525" t="s">
        <v>6133</v>
      </c>
      <c r="U963" s="525"/>
      <c r="V963" s="523"/>
    </row>
    <row r="964" spans="2:22">
      <c r="B964" s="1087" t="s">
        <v>6433</v>
      </c>
      <c r="C964" s="646"/>
      <c r="D964" s="647"/>
      <c r="E964" s="527"/>
      <c r="F964" s="527"/>
      <c r="G964" s="525"/>
      <c r="H964" s="525"/>
      <c r="I964" s="31"/>
      <c r="J964" s="1233"/>
      <c r="K964" s="31"/>
      <c r="L964" s="21"/>
      <c r="M964" s="21"/>
      <c r="N964" s="21"/>
      <c r="O964" s="283"/>
      <c r="P964" s="647"/>
      <c r="Q964" s="1136"/>
      <c r="R964" s="21">
        <v>500</v>
      </c>
      <c r="S964" s="21">
        <v>500</v>
      </c>
      <c r="T964" s="525" t="s">
        <v>6426</v>
      </c>
      <c r="U964" s="525"/>
      <c r="V964" s="523"/>
    </row>
    <row r="965" spans="2:22">
      <c r="B965" s="646"/>
      <c r="C965" s="646"/>
      <c r="D965" s="647"/>
      <c r="E965" s="527"/>
      <c r="F965" s="527"/>
      <c r="G965" s="525"/>
      <c r="H965" s="525"/>
      <c r="I965" s="31"/>
      <c r="J965" s="1233"/>
      <c r="K965" s="31"/>
      <c r="L965" s="21"/>
      <c r="M965" s="21"/>
      <c r="N965" s="21"/>
      <c r="O965" s="283"/>
      <c r="P965" s="647"/>
      <c r="Q965" s="1136"/>
      <c r="R965" s="963"/>
      <c r="S965" s="963"/>
      <c r="T965" s="961"/>
      <c r="U965" s="525"/>
      <c r="V965" s="523"/>
    </row>
    <row r="966" spans="2:22" ht="30">
      <c r="B966" s="646" t="s">
        <v>321</v>
      </c>
      <c r="C966" s="646"/>
      <c r="D966" s="647" t="s">
        <v>3789</v>
      </c>
      <c r="E966" s="527">
        <v>41225</v>
      </c>
      <c r="F966" s="527"/>
      <c r="G966" s="525" t="s">
        <v>315</v>
      </c>
      <c r="H966" s="525"/>
      <c r="I966" s="31"/>
      <c r="J966" s="1233"/>
      <c r="K966" s="31"/>
      <c r="L966" s="21">
        <v>7500</v>
      </c>
      <c r="M966" s="21"/>
      <c r="N966" s="21">
        <f t="shared" si="235"/>
        <v>7500</v>
      </c>
      <c r="O966" s="283"/>
      <c r="P966" s="647" t="s">
        <v>110</v>
      </c>
      <c r="Q966" s="1136" t="s">
        <v>105</v>
      </c>
      <c r="R966" s="963">
        <v>7500</v>
      </c>
      <c r="S966" s="963">
        <v>7500</v>
      </c>
      <c r="T966" s="961"/>
      <c r="U966" s="525"/>
      <c r="V966" s="523" t="s">
        <v>307</v>
      </c>
    </row>
    <row r="967" spans="2:22">
      <c r="B967" s="1087" t="s">
        <v>4283</v>
      </c>
      <c r="C967" s="646"/>
      <c r="D967" s="647"/>
      <c r="E967" s="527"/>
      <c r="F967" s="527"/>
      <c r="G967" s="525"/>
      <c r="H967" s="525"/>
      <c r="I967" s="31"/>
      <c r="J967" s="1233"/>
      <c r="K967" s="31"/>
      <c r="L967" s="21"/>
      <c r="M967" s="21"/>
      <c r="N967" s="21"/>
      <c r="O967" s="283"/>
      <c r="P967" s="647"/>
      <c r="Q967" s="1136"/>
      <c r="R967" s="963"/>
      <c r="S967" s="963"/>
      <c r="T967" s="525"/>
      <c r="U967" s="525"/>
      <c r="V967" s="523"/>
    </row>
    <row r="968" spans="2:22">
      <c r="B968" s="1087" t="s">
        <v>6434</v>
      </c>
      <c r="C968" s="646"/>
      <c r="D968" s="647"/>
      <c r="E968" s="527"/>
      <c r="F968" s="527"/>
      <c r="G968" s="525"/>
      <c r="H968" s="525"/>
      <c r="I968" s="31"/>
      <c r="J968" s="1233"/>
      <c r="K968" s="31"/>
      <c r="L968" s="21"/>
      <c r="M968" s="21"/>
      <c r="N968" s="21"/>
      <c r="O968" s="283"/>
      <c r="P968" s="647"/>
      <c r="Q968" s="1136"/>
      <c r="R968" s="963"/>
      <c r="S968" s="963"/>
      <c r="T968" s="525" t="s">
        <v>6448</v>
      </c>
      <c r="U968" s="525"/>
      <c r="V968" s="523"/>
    </row>
    <row r="969" spans="2:22">
      <c r="B969" s="1087" t="s">
        <v>6435</v>
      </c>
      <c r="C969" s="646"/>
      <c r="D969" s="647"/>
      <c r="E969" s="527"/>
      <c r="F969" s="527"/>
      <c r="G969" s="525"/>
      <c r="H969" s="525"/>
      <c r="I969" s="31"/>
      <c r="J969" s="1233"/>
      <c r="K969" s="31"/>
      <c r="L969" s="21"/>
      <c r="M969" s="21"/>
      <c r="N969" s="21"/>
      <c r="O969" s="283"/>
      <c r="P969" s="647"/>
      <c r="Q969" s="1136"/>
      <c r="R969" s="963"/>
      <c r="S969" s="963"/>
      <c r="T969" s="525"/>
      <c r="U969" s="525"/>
      <c r="V969" s="523"/>
    </row>
    <row r="970" spans="2:22">
      <c r="B970" s="1087" t="s">
        <v>6436</v>
      </c>
      <c r="C970" s="646"/>
      <c r="D970" s="647"/>
      <c r="E970" s="527"/>
      <c r="F970" s="527"/>
      <c r="G970" s="525"/>
      <c r="H970" s="525"/>
      <c r="I970" s="31"/>
      <c r="J970" s="1233"/>
      <c r="K970" s="31"/>
      <c r="L970" s="21"/>
      <c r="M970" s="21"/>
      <c r="N970" s="21"/>
      <c r="O970" s="283"/>
      <c r="P970" s="647"/>
      <c r="Q970" s="1136"/>
      <c r="R970" s="963"/>
      <c r="S970" s="963"/>
      <c r="T970" s="525" t="s">
        <v>6449</v>
      </c>
      <c r="U970" s="525"/>
      <c r="V970" s="523"/>
    </row>
    <row r="971" spans="2:22">
      <c r="B971" s="1087" t="s">
        <v>6437</v>
      </c>
      <c r="C971" s="646"/>
      <c r="D971" s="647"/>
      <c r="E971" s="527"/>
      <c r="F971" s="527"/>
      <c r="G971" s="525"/>
      <c r="H971" s="525"/>
      <c r="I971" s="31"/>
      <c r="J971" s="1233"/>
      <c r="K971" s="31"/>
      <c r="L971" s="21"/>
      <c r="M971" s="21"/>
      <c r="N971" s="21"/>
      <c r="O971" s="283"/>
      <c r="P971" s="647"/>
      <c r="Q971" s="1136"/>
      <c r="R971" s="963"/>
      <c r="S971" s="963"/>
      <c r="T971" s="525" t="s">
        <v>6448</v>
      </c>
      <c r="U971" s="525"/>
      <c r="V971" s="523"/>
    </row>
    <row r="972" spans="2:22">
      <c r="B972" s="1087" t="s">
        <v>6438</v>
      </c>
      <c r="C972" s="646"/>
      <c r="D972" s="647"/>
      <c r="E972" s="527"/>
      <c r="F972" s="527"/>
      <c r="G972" s="525"/>
      <c r="H972" s="525"/>
      <c r="I972" s="31"/>
      <c r="J972" s="1233"/>
      <c r="K972" s="31"/>
      <c r="L972" s="21"/>
      <c r="M972" s="21"/>
      <c r="N972" s="21"/>
      <c r="O972" s="283"/>
      <c r="P972" s="647"/>
      <c r="Q972" s="1136"/>
      <c r="R972" s="963"/>
      <c r="S972" s="963"/>
      <c r="T972" s="525"/>
      <c r="U972" s="525"/>
      <c r="V972" s="523"/>
    </row>
    <row r="973" spans="2:22">
      <c r="B973" s="1087" t="s">
        <v>6439</v>
      </c>
      <c r="C973" s="646"/>
      <c r="D973" s="647"/>
      <c r="E973" s="527"/>
      <c r="F973" s="527"/>
      <c r="G973" s="525"/>
      <c r="H973" s="525"/>
      <c r="I973" s="31"/>
      <c r="J973" s="1233"/>
      <c r="K973" s="31"/>
      <c r="L973" s="21"/>
      <c r="M973" s="21"/>
      <c r="N973" s="21"/>
      <c r="O973" s="283"/>
      <c r="P973" s="647"/>
      <c r="Q973" s="1136"/>
      <c r="R973" s="963"/>
      <c r="S973" s="963"/>
      <c r="T973" s="525" t="s">
        <v>6450</v>
      </c>
      <c r="U973" s="525"/>
      <c r="V973" s="523"/>
    </row>
    <row r="974" spans="2:22">
      <c r="B974" s="1087" t="s">
        <v>6440</v>
      </c>
      <c r="C974" s="646"/>
      <c r="D974" s="647"/>
      <c r="E974" s="527"/>
      <c r="F974" s="527"/>
      <c r="G974" s="525"/>
      <c r="H974" s="525"/>
      <c r="I974" s="31"/>
      <c r="J974" s="1233"/>
      <c r="K974" s="31"/>
      <c r="L974" s="21"/>
      <c r="M974" s="21"/>
      <c r="N974" s="21"/>
      <c r="O974" s="283"/>
      <c r="P974" s="647"/>
      <c r="Q974" s="1136"/>
      <c r="R974" s="963"/>
      <c r="S974" s="963"/>
      <c r="T974" s="525"/>
      <c r="U974" s="525"/>
      <c r="V974" s="523"/>
    </row>
    <row r="975" spans="2:22">
      <c r="B975" s="1087" t="s">
        <v>6441</v>
      </c>
      <c r="C975" s="646"/>
      <c r="D975" s="647"/>
      <c r="E975" s="527"/>
      <c r="F975" s="527"/>
      <c r="G975" s="525"/>
      <c r="H975" s="525"/>
      <c r="I975" s="31"/>
      <c r="J975" s="1233"/>
      <c r="K975" s="31"/>
      <c r="L975" s="21"/>
      <c r="M975" s="21"/>
      <c r="N975" s="21"/>
      <c r="O975" s="283"/>
      <c r="P975" s="647"/>
      <c r="Q975" s="1136"/>
      <c r="R975" s="963"/>
      <c r="S975" s="963"/>
      <c r="T975" s="525"/>
      <c r="U975" s="525"/>
      <c r="V975" s="523"/>
    </row>
    <row r="976" spans="2:22">
      <c r="B976" s="1087" t="s">
        <v>6442</v>
      </c>
      <c r="C976" s="646"/>
      <c r="D976" s="647"/>
      <c r="E976" s="527"/>
      <c r="F976" s="527"/>
      <c r="G976" s="525"/>
      <c r="H976" s="525"/>
      <c r="I976" s="31"/>
      <c r="J976" s="1233"/>
      <c r="K976" s="31"/>
      <c r="L976" s="21"/>
      <c r="M976" s="21"/>
      <c r="N976" s="21"/>
      <c r="O976" s="283"/>
      <c r="P976" s="647"/>
      <c r="Q976" s="1136"/>
      <c r="R976" s="963"/>
      <c r="S976" s="963"/>
      <c r="T976" s="525"/>
      <c r="U976" s="525"/>
      <c r="V976" s="523"/>
    </row>
    <row r="977" spans="2:22">
      <c r="B977" s="1087" t="s">
        <v>6443</v>
      </c>
      <c r="C977" s="646"/>
      <c r="D977" s="647"/>
      <c r="E977" s="527"/>
      <c r="F977" s="527"/>
      <c r="G977" s="525"/>
      <c r="H977" s="525"/>
      <c r="I977" s="31"/>
      <c r="J977" s="1233"/>
      <c r="K977" s="31"/>
      <c r="L977" s="21"/>
      <c r="M977" s="21"/>
      <c r="N977" s="21"/>
      <c r="O977" s="283"/>
      <c r="P977" s="647"/>
      <c r="Q977" s="1136"/>
      <c r="R977" s="963"/>
      <c r="S977" s="963"/>
      <c r="T977" s="525"/>
      <c r="U977" s="525"/>
      <c r="V977" s="523"/>
    </row>
    <row r="978" spans="2:22">
      <c r="B978" s="1087" t="s">
        <v>6444</v>
      </c>
      <c r="C978" s="646"/>
      <c r="D978" s="647"/>
      <c r="E978" s="527"/>
      <c r="F978" s="527"/>
      <c r="G978" s="525"/>
      <c r="H978" s="525"/>
      <c r="I978" s="31"/>
      <c r="J978" s="1233"/>
      <c r="K978" s="31"/>
      <c r="L978" s="21"/>
      <c r="M978" s="21"/>
      <c r="N978" s="21"/>
      <c r="O978" s="283"/>
      <c r="P978" s="647"/>
      <c r="Q978" s="1136"/>
      <c r="R978" s="963"/>
      <c r="S978" s="963"/>
      <c r="T978" s="525" t="s">
        <v>6448</v>
      </c>
      <c r="U978" s="525"/>
      <c r="V978" s="523"/>
    </row>
    <row r="979" spans="2:22">
      <c r="B979" s="1087" t="s">
        <v>6445</v>
      </c>
      <c r="C979" s="646"/>
      <c r="D979" s="647"/>
      <c r="E979" s="527"/>
      <c r="F979" s="527"/>
      <c r="G979" s="525"/>
      <c r="H979" s="525"/>
      <c r="I979" s="31"/>
      <c r="J979" s="1233"/>
      <c r="K979" s="31"/>
      <c r="L979" s="21"/>
      <c r="M979" s="21"/>
      <c r="N979" s="21"/>
      <c r="O979" s="283"/>
      <c r="P979" s="647"/>
      <c r="Q979" s="1136"/>
      <c r="R979" s="963"/>
      <c r="S979" s="963"/>
      <c r="T979" s="525"/>
      <c r="U979" s="525"/>
      <c r="V979" s="523"/>
    </row>
    <row r="980" spans="2:22">
      <c r="B980" s="1087" t="s">
        <v>6446</v>
      </c>
      <c r="C980" s="646"/>
      <c r="D980" s="647"/>
      <c r="E980" s="527"/>
      <c r="F980" s="527"/>
      <c r="G980" s="525"/>
      <c r="H980" s="525"/>
      <c r="I980" s="31"/>
      <c r="J980" s="1233"/>
      <c r="K980" s="31"/>
      <c r="L980" s="21"/>
      <c r="M980" s="21"/>
      <c r="N980" s="21"/>
      <c r="O980" s="283"/>
      <c r="P980" s="647"/>
      <c r="Q980" s="1136"/>
      <c r="R980" s="963"/>
      <c r="S980" s="963"/>
      <c r="T980" s="525"/>
      <c r="U980" s="525"/>
      <c r="V980" s="523"/>
    </row>
    <row r="981" spans="2:22">
      <c r="B981" s="1087" t="s">
        <v>6447</v>
      </c>
      <c r="C981" s="646"/>
      <c r="D981" s="647"/>
      <c r="E981" s="527"/>
      <c r="F981" s="527"/>
      <c r="G981" s="525"/>
      <c r="H981" s="525"/>
      <c r="I981" s="31"/>
      <c r="J981" s="1233"/>
      <c r="K981" s="31"/>
      <c r="L981" s="21"/>
      <c r="M981" s="21"/>
      <c r="N981" s="21"/>
      <c r="O981" s="283"/>
      <c r="P981" s="647"/>
      <c r="Q981" s="1136"/>
      <c r="R981" s="963"/>
      <c r="S981" s="963"/>
      <c r="T981" s="525"/>
      <c r="U981" s="525"/>
      <c r="V981" s="523"/>
    </row>
    <row r="982" spans="2:22">
      <c r="B982" s="646"/>
      <c r="C982" s="646"/>
      <c r="D982" s="647"/>
      <c r="E982" s="527"/>
      <c r="F982" s="527"/>
      <c r="G982" s="525"/>
      <c r="H982" s="525"/>
      <c r="I982" s="31"/>
      <c r="J982" s="1233"/>
      <c r="K982" s="31"/>
      <c r="L982" s="21"/>
      <c r="M982" s="21"/>
      <c r="N982" s="21"/>
      <c r="O982" s="283"/>
      <c r="P982" s="647"/>
      <c r="Q982" s="1136"/>
      <c r="R982" s="963"/>
      <c r="S982" s="963"/>
      <c r="T982" s="961"/>
      <c r="U982" s="525"/>
      <c r="V982" s="523"/>
    </row>
    <row r="983" spans="2:22" ht="30">
      <c r="B983" s="646" t="s">
        <v>321</v>
      </c>
      <c r="C983" s="646"/>
      <c r="D983" s="647" t="s">
        <v>2659</v>
      </c>
      <c r="E983" s="527">
        <v>41228</v>
      </c>
      <c r="F983" s="527"/>
      <c r="G983" s="443" t="s">
        <v>2658</v>
      </c>
      <c r="H983" s="525"/>
      <c r="I983" s="31"/>
      <c r="J983" s="1233"/>
      <c r="K983" s="31"/>
      <c r="L983" s="21">
        <f>-3000+3000</f>
        <v>0</v>
      </c>
      <c r="M983" s="21"/>
      <c r="N983" s="21">
        <f t="shared" si="235"/>
        <v>0</v>
      </c>
      <c r="O983" s="283"/>
      <c r="P983" s="647" t="s">
        <v>110</v>
      </c>
      <c r="Q983" s="1136" t="s">
        <v>105</v>
      </c>
      <c r="R983" s="963"/>
      <c r="S983" s="963"/>
      <c r="T983" s="961"/>
      <c r="U983" s="525"/>
      <c r="V983" s="523"/>
    </row>
    <row r="984" spans="2:22" ht="30">
      <c r="B984" s="646" t="s">
        <v>321</v>
      </c>
      <c r="C984" s="646"/>
      <c r="D984" s="647" t="s">
        <v>3791</v>
      </c>
      <c r="E984" s="651">
        <v>41229</v>
      </c>
      <c r="F984" s="651"/>
      <c r="G984" s="526" t="s">
        <v>3790</v>
      </c>
      <c r="H984" s="525"/>
      <c r="I984" s="31"/>
      <c r="J984" s="1233"/>
      <c r="K984" s="31"/>
      <c r="L984" s="21">
        <f>4500000-4500000</f>
        <v>0</v>
      </c>
      <c r="M984" s="21"/>
      <c r="N984" s="21">
        <f t="shared" si="235"/>
        <v>0</v>
      </c>
      <c r="O984" s="283"/>
      <c r="P984" s="647" t="s">
        <v>110</v>
      </c>
      <c r="Q984" s="1136" t="s">
        <v>105</v>
      </c>
      <c r="R984" s="963">
        <f>4500000-4500000</f>
        <v>0</v>
      </c>
      <c r="S984" s="963">
        <f>4500000-4500000</f>
        <v>0</v>
      </c>
      <c r="T984" s="961"/>
      <c r="U984" s="525"/>
      <c r="V984" s="523" t="s">
        <v>307</v>
      </c>
    </row>
    <row r="985" spans="2:22" ht="90">
      <c r="B985" s="646" t="s">
        <v>308</v>
      </c>
      <c r="C985" s="646"/>
      <c r="D985" s="647" t="s">
        <v>3793</v>
      </c>
      <c r="E985" s="527">
        <v>41250</v>
      </c>
      <c r="F985" s="527"/>
      <c r="G985" s="525" t="s">
        <v>3792</v>
      </c>
      <c r="H985" s="525"/>
      <c r="I985" s="31"/>
      <c r="J985" s="1233"/>
      <c r="K985" s="31"/>
      <c r="L985" s="21">
        <v>5000</v>
      </c>
      <c r="M985" s="21"/>
      <c r="N985" s="21">
        <f t="shared" si="235"/>
        <v>5000</v>
      </c>
      <c r="O985" s="283"/>
      <c r="P985" s="647" t="s">
        <v>110</v>
      </c>
      <c r="Q985" s="1136" t="s">
        <v>105</v>
      </c>
      <c r="R985" s="963">
        <v>5000</v>
      </c>
      <c r="S985" s="963">
        <v>5000</v>
      </c>
      <c r="T985" s="961" t="s">
        <v>4646</v>
      </c>
      <c r="U985" s="525"/>
      <c r="V985" s="523" t="s">
        <v>307</v>
      </c>
    </row>
    <row r="986" spans="2:22" ht="30">
      <c r="B986" s="646" t="s">
        <v>314</v>
      </c>
      <c r="C986" s="646"/>
      <c r="D986" s="647" t="s">
        <v>3794</v>
      </c>
      <c r="E986" s="527">
        <v>41250</v>
      </c>
      <c r="F986" s="527"/>
      <c r="G986" s="525" t="s">
        <v>315</v>
      </c>
      <c r="H986" s="525"/>
      <c r="I986" s="31"/>
      <c r="J986" s="1233"/>
      <c r="K986" s="31"/>
      <c r="L986" s="21">
        <v>6000</v>
      </c>
      <c r="M986" s="21"/>
      <c r="N986" s="21">
        <f t="shared" si="235"/>
        <v>6000</v>
      </c>
      <c r="O986" s="283"/>
      <c r="P986" s="647" t="s">
        <v>110</v>
      </c>
      <c r="Q986" s="1136" t="s">
        <v>105</v>
      </c>
      <c r="R986" s="963"/>
      <c r="S986" s="963"/>
      <c r="T986" s="961"/>
      <c r="U986" s="525"/>
      <c r="V986" s="523" t="s">
        <v>307</v>
      </c>
    </row>
    <row r="987" spans="2:22">
      <c r="B987" s="654" t="s">
        <v>5696</v>
      </c>
      <c r="C987" s="646"/>
      <c r="D987" s="647"/>
      <c r="E987" s="527"/>
      <c r="F987" s="527"/>
      <c r="G987" s="525"/>
      <c r="H987" s="525"/>
      <c r="I987" s="31"/>
      <c r="J987" s="1233"/>
      <c r="K987" s="31"/>
      <c r="L987" s="808"/>
      <c r="M987" s="21"/>
      <c r="N987" s="21">
        <f t="shared" si="235"/>
        <v>0</v>
      </c>
      <c r="O987" s="283"/>
      <c r="P987" s="647"/>
      <c r="Q987" s="1136"/>
      <c r="R987" s="667">
        <v>5000</v>
      </c>
      <c r="S987" s="667">
        <v>4997</v>
      </c>
      <c r="T987" s="961"/>
      <c r="U987" s="525"/>
      <c r="V987" s="523"/>
    </row>
    <row r="988" spans="2:22">
      <c r="B988" s="654" t="s">
        <v>5697</v>
      </c>
      <c r="C988" s="646"/>
      <c r="D988" s="647"/>
      <c r="E988" s="527"/>
      <c r="F988" s="527"/>
      <c r="G988" s="525"/>
      <c r="H988" s="525"/>
      <c r="I988" s="31"/>
      <c r="J988" s="1233"/>
      <c r="K988" s="31"/>
      <c r="L988" s="21"/>
      <c r="M988" s="21"/>
      <c r="N988" s="21">
        <f t="shared" si="235"/>
        <v>0</v>
      </c>
      <c r="O988" s="283"/>
      <c r="P988" s="647"/>
      <c r="Q988" s="1136"/>
      <c r="R988" s="35">
        <v>1000</v>
      </c>
      <c r="S988" s="35">
        <v>1000</v>
      </c>
      <c r="T988" s="961"/>
      <c r="U988" s="525"/>
      <c r="V988" s="523"/>
    </row>
    <row r="989" spans="2:22" ht="30">
      <c r="B989" s="646" t="s">
        <v>343</v>
      </c>
      <c r="C989" s="646"/>
      <c r="D989" s="647" t="s">
        <v>3796</v>
      </c>
      <c r="E989" s="527">
        <v>41250</v>
      </c>
      <c r="F989" s="527"/>
      <c r="G989" s="525" t="s">
        <v>3795</v>
      </c>
      <c r="H989" s="525"/>
      <c r="I989" s="31"/>
      <c r="J989" s="1233"/>
      <c r="K989" s="31"/>
      <c r="L989" s="21">
        <v>2000</v>
      </c>
      <c r="M989" s="21"/>
      <c r="N989" s="21">
        <f t="shared" si="235"/>
        <v>2000</v>
      </c>
      <c r="O989" s="283"/>
      <c r="P989" s="647" t="s">
        <v>110</v>
      </c>
      <c r="Q989" s="1136" t="s">
        <v>105</v>
      </c>
      <c r="R989" s="963">
        <v>2000</v>
      </c>
      <c r="S989" s="963">
        <v>2000</v>
      </c>
      <c r="T989" s="961"/>
      <c r="U989" s="525"/>
      <c r="V989" s="523" t="s">
        <v>307</v>
      </c>
    </row>
    <row r="990" spans="2:22" ht="90">
      <c r="B990" s="646" t="s">
        <v>308</v>
      </c>
      <c r="C990" s="646"/>
      <c r="D990" s="647" t="s">
        <v>3797</v>
      </c>
      <c r="E990" s="527">
        <v>41250</v>
      </c>
      <c r="F990" s="527"/>
      <c r="G990" s="525" t="s">
        <v>3604</v>
      </c>
      <c r="H990" s="525"/>
      <c r="I990" s="31"/>
      <c r="J990" s="1233"/>
      <c r="K990" s="31"/>
      <c r="L990" s="21">
        <v>10000</v>
      </c>
      <c r="M990" s="21"/>
      <c r="N990" s="21">
        <f t="shared" si="235"/>
        <v>10000</v>
      </c>
      <c r="O990" s="283"/>
      <c r="P990" s="647" t="s">
        <v>110</v>
      </c>
      <c r="Q990" s="1136" t="s">
        <v>105</v>
      </c>
      <c r="R990" s="963">
        <v>10000</v>
      </c>
      <c r="S990" s="963">
        <v>10000</v>
      </c>
      <c r="T990" s="961" t="s">
        <v>4646</v>
      </c>
      <c r="U990" s="525"/>
      <c r="V990" s="523" t="s">
        <v>307</v>
      </c>
    </row>
    <row r="991" spans="2:22" ht="30">
      <c r="B991" s="646" t="s">
        <v>311</v>
      </c>
      <c r="C991" s="646"/>
      <c r="D991" s="647" t="s">
        <v>3798</v>
      </c>
      <c r="E991" s="527">
        <v>41250</v>
      </c>
      <c r="F991" s="527"/>
      <c r="G991" s="525" t="s">
        <v>315</v>
      </c>
      <c r="H991" s="525"/>
      <c r="I991" s="31"/>
      <c r="J991" s="1233"/>
      <c r="K991" s="31"/>
      <c r="L991" s="21">
        <v>30000</v>
      </c>
      <c r="M991" s="21"/>
      <c r="N991" s="21">
        <f>SUM(L991:M991)</f>
        <v>30000</v>
      </c>
      <c r="O991" s="283"/>
      <c r="P991" s="647" t="s">
        <v>110</v>
      </c>
      <c r="Q991" s="1136" t="s">
        <v>105</v>
      </c>
      <c r="R991" s="1064">
        <f>SUM(R992:R994)</f>
        <v>30000</v>
      </c>
      <c r="S991" s="1064">
        <f>SUM(S992:S994)</f>
        <v>30000</v>
      </c>
      <c r="T991" s="961"/>
      <c r="U991" s="525"/>
      <c r="V991" s="523" t="s">
        <v>307</v>
      </c>
    </row>
    <row r="992" spans="2:22" ht="30">
      <c r="B992" s="646" t="s">
        <v>5470</v>
      </c>
      <c r="C992" s="646"/>
      <c r="D992" s="647"/>
      <c r="E992" s="527"/>
      <c r="F992" s="527"/>
      <c r="G992" s="525"/>
      <c r="H992" s="525"/>
      <c r="I992" s="31"/>
      <c r="J992" s="1233"/>
      <c r="K992" s="31"/>
      <c r="L992" s="795"/>
      <c r="M992" s="21"/>
      <c r="N992" s="21">
        <f>SUM(L992:M992)</f>
        <v>0</v>
      </c>
      <c r="O992" s="283"/>
      <c r="P992" s="647"/>
      <c r="Q992" s="1136"/>
      <c r="R992" s="35">
        <v>10000</v>
      </c>
      <c r="S992" s="35">
        <v>10000</v>
      </c>
      <c r="T992" s="961" t="s">
        <v>5473</v>
      </c>
      <c r="U992" s="525"/>
      <c r="V992" s="523"/>
    </row>
    <row r="993" spans="2:22" ht="30">
      <c r="B993" s="646" t="s">
        <v>5471</v>
      </c>
      <c r="C993" s="646"/>
      <c r="D993" s="647"/>
      <c r="E993" s="527"/>
      <c r="F993" s="527"/>
      <c r="G993" s="525"/>
      <c r="H993" s="525"/>
      <c r="I993" s="31"/>
      <c r="J993" s="1233"/>
      <c r="K993" s="31"/>
      <c r="L993" s="795"/>
      <c r="M993" s="21"/>
      <c r="N993" s="21">
        <f>SUM(L993:M993)</f>
        <v>0</v>
      </c>
      <c r="O993" s="283"/>
      <c r="P993" s="647"/>
      <c r="Q993" s="1136"/>
      <c r="R993" s="35">
        <v>10000</v>
      </c>
      <c r="S993" s="35">
        <v>10000</v>
      </c>
      <c r="T993" s="961" t="s">
        <v>5473</v>
      </c>
      <c r="U993" s="525"/>
      <c r="V993" s="523"/>
    </row>
    <row r="994" spans="2:22" ht="30">
      <c r="B994" s="646" t="s">
        <v>5472</v>
      </c>
      <c r="C994" s="646"/>
      <c r="D994" s="647"/>
      <c r="E994" s="527"/>
      <c r="F994" s="527"/>
      <c r="G994" s="525"/>
      <c r="H994" s="525"/>
      <c r="I994" s="31"/>
      <c r="J994" s="1233"/>
      <c r="K994" s="31"/>
      <c r="L994" s="795"/>
      <c r="M994" s="21"/>
      <c r="N994" s="21">
        <f>SUM(L994:M994)</f>
        <v>0</v>
      </c>
      <c r="O994" s="283"/>
      <c r="P994" s="647"/>
      <c r="Q994" s="1136"/>
      <c r="R994" s="35">
        <v>10000</v>
      </c>
      <c r="S994" s="35">
        <v>10000</v>
      </c>
      <c r="T994" s="961" t="s">
        <v>5473</v>
      </c>
      <c r="U994" s="525"/>
      <c r="V994" s="523"/>
    </row>
    <row r="995" spans="2:22" ht="30">
      <c r="B995" s="646" t="s">
        <v>314</v>
      </c>
      <c r="C995" s="646"/>
      <c r="D995" s="647" t="s">
        <v>3799</v>
      </c>
      <c r="E995" s="527">
        <v>41250</v>
      </c>
      <c r="F995" s="527"/>
      <c r="G995" s="525" t="s">
        <v>1685</v>
      </c>
      <c r="H995" s="525"/>
      <c r="I995" s="31"/>
      <c r="J995" s="1233"/>
      <c r="K995" s="31"/>
      <c r="L995" s="21">
        <v>2500</v>
      </c>
      <c r="M995" s="21"/>
      <c r="N995" s="21">
        <f t="shared" si="235"/>
        <v>2500</v>
      </c>
      <c r="O995" s="283"/>
      <c r="P995" s="647" t="s">
        <v>110</v>
      </c>
      <c r="Q995" s="1136" t="s">
        <v>105</v>
      </c>
      <c r="R995" s="963">
        <v>2500</v>
      </c>
      <c r="S995" s="963">
        <v>2500</v>
      </c>
      <c r="T995" s="961"/>
      <c r="U995" s="525"/>
      <c r="V995" s="523" t="s">
        <v>307</v>
      </c>
    </row>
    <row r="996" spans="2:22" ht="30">
      <c r="B996" s="646" t="s">
        <v>314</v>
      </c>
      <c r="C996" s="646"/>
      <c r="D996" s="647" t="s">
        <v>3801</v>
      </c>
      <c r="E996" s="527">
        <v>41250</v>
      </c>
      <c r="F996" s="527"/>
      <c r="G996" s="525" t="s">
        <v>3800</v>
      </c>
      <c r="H996" s="525"/>
      <c r="I996" s="31"/>
      <c r="J996" s="1233"/>
      <c r="K996" s="31"/>
      <c r="L996" s="21">
        <v>10000</v>
      </c>
      <c r="M996" s="21"/>
      <c r="N996" s="21">
        <f t="shared" si="235"/>
        <v>10000</v>
      </c>
      <c r="O996" s="283"/>
      <c r="P996" s="647" t="s">
        <v>110</v>
      </c>
      <c r="Q996" s="1136" t="s">
        <v>105</v>
      </c>
      <c r="R996" s="963"/>
      <c r="S996" s="963"/>
      <c r="T996" s="961"/>
      <c r="U996" s="525"/>
      <c r="V996" s="523" t="s">
        <v>307</v>
      </c>
    </row>
    <row r="997" spans="2:22">
      <c r="B997" s="654" t="s">
        <v>5698</v>
      </c>
      <c r="C997" s="646"/>
      <c r="D997" s="647"/>
      <c r="E997" s="527"/>
      <c r="F997" s="527"/>
      <c r="G997" s="525"/>
      <c r="H997" s="525"/>
      <c r="I997" s="31"/>
      <c r="J997" s="1233"/>
      <c r="K997" s="31"/>
      <c r="L997" s="809"/>
      <c r="M997" s="21"/>
      <c r="N997" s="21">
        <f t="shared" si="235"/>
        <v>0</v>
      </c>
      <c r="O997" s="283"/>
      <c r="P997" s="647"/>
      <c r="Q997" s="1136"/>
      <c r="R997" s="93">
        <v>4000</v>
      </c>
      <c r="S997" s="1017"/>
      <c r="T997" s="961"/>
      <c r="U997" s="525"/>
      <c r="V997" s="523"/>
    </row>
    <row r="998" spans="2:22">
      <c r="B998" s="654" t="s">
        <v>5699</v>
      </c>
      <c r="C998" s="646"/>
      <c r="D998" s="647"/>
      <c r="E998" s="527"/>
      <c r="F998" s="527"/>
      <c r="G998" s="525"/>
      <c r="H998" s="525"/>
      <c r="I998" s="31"/>
      <c r="J998" s="1233"/>
      <c r="K998" s="31"/>
      <c r="L998" s="21"/>
      <c r="M998" s="21"/>
      <c r="N998" s="21">
        <f t="shared" si="235"/>
        <v>0</v>
      </c>
      <c r="O998" s="283"/>
      <c r="P998" s="647"/>
      <c r="Q998" s="1136"/>
      <c r="R998" s="35">
        <v>6000</v>
      </c>
      <c r="S998" s="35">
        <v>0</v>
      </c>
      <c r="T998" s="961"/>
      <c r="U998" s="525"/>
      <c r="V998" s="523"/>
    </row>
    <row r="999" spans="2:22" ht="30">
      <c r="B999" s="646" t="s">
        <v>319</v>
      </c>
      <c r="C999" s="646"/>
      <c r="D999" s="647" t="s">
        <v>3803</v>
      </c>
      <c r="E999" s="527">
        <v>41250</v>
      </c>
      <c r="F999" s="527"/>
      <c r="G999" s="525" t="s">
        <v>3802</v>
      </c>
      <c r="H999" s="525"/>
      <c r="I999" s="31"/>
      <c r="J999" s="1233"/>
      <c r="K999" s="31"/>
      <c r="L999" s="21">
        <v>5000</v>
      </c>
      <c r="M999" s="21"/>
      <c r="N999" s="21">
        <f t="shared" si="235"/>
        <v>5000</v>
      </c>
      <c r="O999" s="283"/>
      <c r="P999" s="647" t="s">
        <v>110</v>
      </c>
      <c r="Q999" s="1136" t="s">
        <v>105</v>
      </c>
      <c r="R999" s="963">
        <v>5000</v>
      </c>
      <c r="S999" s="963">
        <v>5000</v>
      </c>
      <c r="T999" s="961"/>
      <c r="U999" s="525"/>
      <c r="V999" s="523" t="s">
        <v>307</v>
      </c>
    </row>
    <row r="1000" spans="2:22" ht="30">
      <c r="B1000" s="646" t="s">
        <v>314</v>
      </c>
      <c r="C1000" s="646"/>
      <c r="D1000" s="647" t="s">
        <v>3805</v>
      </c>
      <c r="E1000" s="527">
        <v>41250</v>
      </c>
      <c r="F1000" s="527"/>
      <c r="G1000" s="525" t="s">
        <v>3804</v>
      </c>
      <c r="H1000" s="525"/>
      <c r="I1000" s="31"/>
      <c r="J1000" s="1233"/>
      <c r="K1000" s="31"/>
      <c r="L1000" s="21">
        <v>500</v>
      </c>
      <c r="M1000" s="21"/>
      <c r="N1000" s="21">
        <f t="shared" si="235"/>
        <v>500</v>
      </c>
      <c r="O1000" s="283"/>
      <c r="P1000" s="647" t="s">
        <v>110</v>
      </c>
      <c r="Q1000" s="1136" t="s">
        <v>105</v>
      </c>
      <c r="R1000" s="963">
        <v>500</v>
      </c>
      <c r="S1000" s="963">
        <v>500</v>
      </c>
      <c r="T1000" s="961"/>
      <c r="U1000" s="525"/>
      <c r="V1000" s="523" t="s">
        <v>307</v>
      </c>
    </row>
    <row r="1001" spans="2:22" ht="90">
      <c r="B1001" s="646" t="s">
        <v>308</v>
      </c>
      <c r="C1001" s="646"/>
      <c r="D1001" s="647" t="s">
        <v>3806</v>
      </c>
      <c r="E1001" s="527">
        <v>41250</v>
      </c>
      <c r="F1001" s="527"/>
      <c r="G1001" s="525" t="s">
        <v>3627</v>
      </c>
      <c r="H1001" s="525"/>
      <c r="I1001" s="31"/>
      <c r="J1001" s="1233"/>
      <c r="K1001" s="31"/>
      <c r="L1001" s="21">
        <v>680</v>
      </c>
      <c r="M1001" s="21"/>
      <c r="N1001" s="21">
        <f t="shared" si="235"/>
        <v>680</v>
      </c>
      <c r="O1001" s="283"/>
      <c r="P1001" s="647" t="s">
        <v>110</v>
      </c>
      <c r="Q1001" s="1136" t="s">
        <v>105</v>
      </c>
      <c r="R1001" s="963">
        <v>680</v>
      </c>
      <c r="S1001" s="963">
        <v>680</v>
      </c>
      <c r="T1001" s="961" t="s">
        <v>4646</v>
      </c>
      <c r="U1001" s="525"/>
      <c r="V1001" s="523" t="s">
        <v>307</v>
      </c>
    </row>
    <row r="1002" spans="2:22" ht="30">
      <c r="B1002" s="646" t="s">
        <v>331</v>
      </c>
      <c r="C1002" s="646"/>
      <c r="D1002" s="647" t="s">
        <v>3808</v>
      </c>
      <c r="E1002" s="527">
        <v>41250</v>
      </c>
      <c r="F1002" s="527"/>
      <c r="G1002" s="525" t="s">
        <v>3807</v>
      </c>
      <c r="H1002" s="525"/>
      <c r="I1002" s="31"/>
      <c r="J1002" s="1233"/>
      <c r="K1002" s="31"/>
      <c r="L1002" s="21">
        <f>-3750000+3750000</f>
        <v>0</v>
      </c>
      <c r="M1002" s="21"/>
      <c r="N1002" s="21">
        <f t="shared" si="235"/>
        <v>0</v>
      </c>
      <c r="O1002" s="283"/>
      <c r="P1002" s="647" t="s">
        <v>110</v>
      </c>
      <c r="Q1002" s="1136" t="s">
        <v>105</v>
      </c>
      <c r="R1002" s="963">
        <f>-3750000+3750000</f>
        <v>0</v>
      </c>
      <c r="S1002" s="963">
        <f>-3750000+3750000</f>
        <v>0</v>
      </c>
      <c r="T1002" s="961"/>
      <c r="U1002" s="525"/>
      <c r="V1002" s="523" t="s">
        <v>307</v>
      </c>
    </row>
    <row r="1003" spans="2:22" ht="30">
      <c r="B1003" s="646" t="s">
        <v>321</v>
      </c>
      <c r="C1003" s="646"/>
      <c r="D1003" s="647" t="s">
        <v>3810</v>
      </c>
      <c r="E1003" s="527">
        <v>41250</v>
      </c>
      <c r="F1003" s="527"/>
      <c r="G1003" s="525" t="s">
        <v>3809</v>
      </c>
      <c r="H1003" s="525"/>
      <c r="I1003" s="31"/>
      <c r="J1003" s="1233"/>
      <c r="K1003" s="31"/>
      <c r="L1003" s="21">
        <v>3000</v>
      </c>
      <c r="M1003" s="21"/>
      <c r="N1003" s="21">
        <f t="shared" si="235"/>
        <v>3000</v>
      </c>
      <c r="O1003" s="283"/>
      <c r="P1003" s="647" t="s">
        <v>110</v>
      </c>
      <c r="Q1003" s="1136" t="s">
        <v>105</v>
      </c>
      <c r="R1003" s="963">
        <v>3000</v>
      </c>
      <c r="S1003" s="963">
        <v>3000</v>
      </c>
      <c r="T1003" s="1088" t="s">
        <v>6451</v>
      </c>
      <c r="U1003" s="525"/>
      <c r="V1003" s="523" t="s">
        <v>307</v>
      </c>
    </row>
    <row r="1004" spans="2:22" ht="90">
      <c r="B1004" s="646" t="s">
        <v>308</v>
      </c>
      <c r="C1004" s="646"/>
      <c r="D1004" s="647" t="s">
        <v>3812</v>
      </c>
      <c r="E1004" s="527">
        <v>41250</v>
      </c>
      <c r="F1004" s="527"/>
      <c r="G1004" s="525" t="s">
        <v>3811</v>
      </c>
      <c r="H1004" s="525"/>
      <c r="I1004" s="31"/>
      <c r="J1004" s="1233"/>
      <c r="K1004" s="31"/>
      <c r="L1004" s="21">
        <v>3000</v>
      </c>
      <c r="M1004" s="21"/>
      <c r="N1004" s="21">
        <f t="shared" si="235"/>
        <v>3000</v>
      </c>
      <c r="O1004" s="283"/>
      <c r="P1004" s="647" t="s">
        <v>110</v>
      </c>
      <c r="Q1004" s="1136" t="s">
        <v>105</v>
      </c>
      <c r="R1004" s="963">
        <v>3000</v>
      </c>
      <c r="S1004" s="963">
        <v>3000</v>
      </c>
      <c r="T1004" s="961" t="s">
        <v>4646</v>
      </c>
      <c r="U1004" s="525"/>
      <c r="V1004" s="523" t="s">
        <v>307</v>
      </c>
    </row>
    <row r="1005" spans="2:22" ht="30">
      <c r="B1005" s="646" t="s">
        <v>314</v>
      </c>
      <c r="C1005" s="646"/>
      <c r="D1005" s="647" t="s">
        <v>3813</v>
      </c>
      <c r="E1005" s="527">
        <v>41250</v>
      </c>
      <c r="F1005" s="527"/>
      <c r="G1005" s="525" t="s">
        <v>315</v>
      </c>
      <c r="H1005" s="525"/>
      <c r="I1005" s="31"/>
      <c r="J1005" s="1233"/>
      <c r="K1005" s="31"/>
      <c r="L1005" s="21">
        <v>3500</v>
      </c>
      <c r="M1005" s="21"/>
      <c r="N1005" s="21">
        <f t="shared" si="235"/>
        <v>3500</v>
      </c>
      <c r="O1005" s="283"/>
      <c r="P1005" s="647" t="s">
        <v>110</v>
      </c>
      <c r="Q1005" s="1136" t="s">
        <v>105</v>
      </c>
      <c r="R1005" s="963">
        <v>3500</v>
      </c>
      <c r="S1005" s="963">
        <v>3500</v>
      </c>
      <c r="T1005" s="961"/>
      <c r="U1005" s="525"/>
      <c r="V1005" s="523" t="s">
        <v>307</v>
      </c>
    </row>
    <row r="1006" spans="2:22" ht="30">
      <c r="B1006" s="646" t="s">
        <v>337</v>
      </c>
      <c r="C1006" s="646"/>
      <c r="D1006" s="647" t="s">
        <v>3814</v>
      </c>
      <c r="E1006" s="527">
        <v>41250</v>
      </c>
      <c r="F1006" s="527"/>
      <c r="G1006" s="525" t="s">
        <v>401</v>
      </c>
      <c r="H1006" s="525"/>
      <c r="I1006" s="31"/>
      <c r="J1006" s="1233"/>
      <c r="K1006" s="31"/>
      <c r="L1006" s="21">
        <v>14500</v>
      </c>
      <c r="M1006" s="21"/>
      <c r="N1006" s="21">
        <f t="shared" si="235"/>
        <v>14500</v>
      </c>
      <c r="O1006" s="283"/>
      <c r="P1006" s="647" t="s">
        <v>110</v>
      </c>
      <c r="Q1006" s="1136" t="s">
        <v>105</v>
      </c>
      <c r="R1006" s="963">
        <v>14500</v>
      </c>
      <c r="S1006" s="963">
        <v>14500</v>
      </c>
      <c r="T1006" s="961"/>
      <c r="U1006" s="525"/>
      <c r="V1006" s="523" t="s">
        <v>307</v>
      </c>
    </row>
    <row r="1007" spans="2:22" ht="30">
      <c r="B1007" s="646" t="s">
        <v>321</v>
      </c>
      <c r="C1007" s="646"/>
      <c r="D1007" s="647" t="s">
        <v>3816</v>
      </c>
      <c r="E1007" s="527">
        <v>41250</v>
      </c>
      <c r="F1007" s="527"/>
      <c r="G1007" s="525" t="s">
        <v>3815</v>
      </c>
      <c r="H1007" s="525"/>
      <c r="I1007" s="31"/>
      <c r="J1007" s="1233"/>
      <c r="K1007" s="31"/>
      <c r="L1007" s="21">
        <v>7500</v>
      </c>
      <c r="M1007" s="21"/>
      <c r="N1007" s="21">
        <f t="shared" si="235"/>
        <v>7500</v>
      </c>
      <c r="O1007" s="283"/>
      <c r="P1007" s="647" t="s">
        <v>110</v>
      </c>
      <c r="Q1007" s="1136" t="s">
        <v>105</v>
      </c>
      <c r="R1007" s="963">
        <v>7500</v>
      </c>
      <c r="S1007" s="963">
        <v>7500</v>
      </c>
      <c r="T1007" s="961"/>
      <c r="U1007" s="525"/>
      <c r="V1007" s="523" t="s">
        <v>307</v>
      </c>
    </row>
    <row r="1008" spans="2:22" ht="30">
      <c r="B1008" s="646" t="s">
        <v>343</v>
      </c>
      <c r="C1008" s="646"/>
      <c r="D1008" s="647" t="s">
        <v>3818</v>
      </c>
      <c r="E1008" s="527">
        <v>41250</v>
      </c>
      <c r="F1008" s="527"/>
      <c r="G1008" s="525" t="s">
        <v>3817</v>
      </c>
      <c r="H1008" s="525"/>
      <c r="I1008" s="31"/>
      <c r="J1008" s="1233"/>
      <c r="K1008" s="31"/>
      <c r="L1008" s="21">
        <v>6000</v>
      </c>
      <c r="M1008" s="21"/>
      <c r="N1008" s="21">
        <f t="shared" ref="N1008:N1119" si="236">SUM(L1008:M1008)</f>
        <v>6000</v>
      </c>
      <c r="O1008" s="283"/>
      <c r="P1008" s="647" t="s">
        <v>110</v>
      </c>
      <c r="Q1008" s="1136" t="s">
        <v>105</v>
      </c>
      <c r="R1008" s="70"/>
      <c r="S1008" s="70"/>
      <c r="T1008" s="961"/>
      <c r="U1008" s="525"/>
      <c r="V1008" s="523" t="s">
        <v>307</v>
      </c>
    </row>
    <row r="1009" spans="2:22">
      <c r="B1009" s="648" t="s">
        <v>3819</v>
      </c>
      <c r="C1009" s="648"/>
      <c r="D1009" s="649"/>
      <c r="E1009" s="444"/>
      <c r="F1009" s="444"/>
      <c r="G1009" s="42"/>
      <c r="H1009" s="42"/>
      <c r="L1009" s="283"/>
      <c r="M1009" s="283"/>
      <c r="N1009" s="283"/>
      <c r="O1009" s="283"/>
      <c r="P1009" s="525"/>
      <c r="Q1009" s="21"/>
      <c r="R1009" s="964">
        <v>500</v>
      </c>
      <c r="S1009" s="286">
        <v>500</v>
      </c>
      <c r="T1009" s="962"/>
      <c r="U1009" s="42"/>
      <c r="V1009" s="288"/>
    </row>
    <row r="1010" spans="2:22">
      <c r="B1010" s="648" t="s">
        <v>3820</v>
      </c>
      <c r="C1010" s="648"/>
      <c r="D1010" s="649"/>
      <c r="E1010" s="444"/>
      <c r="F1010" s="444"/>
      <c r="G1010" s="42"/>
      <c r="H1010" s="42"/>
      <c r="L1010" s="283"/>
      <c r="M1010" s="283"/>
      <c r="N1010" s="283"/>
      <c r="O1010" s="283"/>
      <c r="P1010" s="525"/>
      <c r="Q1010" s="21"/>
      <c r="R1010" s="964">
        <v>2000</v>
      </c>
      <c r="S1010" s="286">
        <v>2000</v>
      </c>
      <c r="T1010" s="962"/>
      <c r="U1010" s="42"/>
      <c r="V1010" s="288"/>
    </row>
    <row r="1011" spans="2:22">
      <c r="B1011" s="648" t="s">
        <v>3821</v>
      </c>
      <c r="C1011" s="648"/>
      <c r="D1011" s="649"/>
      <c r="E1011" s="444"/>
      <c r="F1011" s="444"/>
      <c r="G1011" s="42"/>
      <c r="H1011" s="42"/>
      <c r="L1011" s="283"/>
      <c r="M1011" s="283"/>
      <c r="N1011" s="283"/>
      <c r="O1011" s="283"/>
      <c r="P1011" s="525"/>
      <c r="Q1011" s="21"/>
      <c r="R1011" s="964">
        <v>500</v>
      </c>
      <c r="S1011" s="286">
        <v>493</v>
      </c>
      <c r="T1011" s="962" t="s">
        <v>6185</v>
      </c>
      <c r="U1011" s="42"/>
      <c r="V1011" s="288"/>
    </row>
    <row r="1012" spans="2:22">
      <c r="B1012" s="648" t="s">
        <v>3822</v>
      </c>
      <c r="C1012" s="648"/>
      <c r="D1012" s="649"/>
      <c r="E1012" s="444"/>
      <c r="F1012" s="444"/>
      <c r="G1012" s="42"/>
      <c r="H1012" s="42"/>
      <c r="L1012" s="283"/>
      <c r="M1012" s="283"/>
      <c r="N1012" s="283"/>
      <c r="O1012" s="283"/>
      <c r="P1012" s="525"/>
      <c r="Q1012" s="21"/>
      <c r="R1012" s="964">
        <v>2000</v>
      </c>
      <c r="S1012" s="286">
        <v>2000</v>
      </c>
      <c r="T1012" s="962"/>
      <c r="U1012" s="42"/>
      <c r="V1012" s="288"/>
    </row>
    <row r="1013" spans="2:22" ht="30">
      <c r="B1013" s="648" t="s">
        <v>3823</v>
      </c>
      <c r="C1013" s="648"/>
      <c r="D1013" s="649"/>
      <c r="E1013" s="444"/>
      <c r="F1013" s="444"/>
      <c r="G1013" s="42"/>
      <c r="H1013" s="42"/>
      <c r="L1013" s="283"/>
      <c r="M1013" s="283"/>
      <c r="N1013" s="283"/>
      <c r="O1013" s="283"/>
      <c r="P1013" s="525"/>
      <c r="Q1013" s="21"/>
      <c r="R1013" s="964">
        <v>500</v>
      </c>
      <c r="S1013" s="286">
        <v>500</v>
      </c>
      <c r="T1013" s="962" t="s">
        <v>6186</v>
      </c>
      <c r="U1013" s="42"/>
      <c r="V1013" s="288"/>
    </row>
    <row r="1014" spans="2:22">
      <c r="B1014" s="648" t="s">
        <v>3824</v>
      </c>
      <c r="C1014" s="648"/>
      <c r="D1014" s="649"/>
      <c r="E1014" s="444"/>
      <c r="F1014" s="444"/>
      <c r="G1014" s="42"/>
      <c r="H1014" s="42"/>
      <c r="L1014" s="283"/>
      <c r="M1014" s="283"/>
      <c r="N1014" s="283"/>
      <c r="O1014" s="283"/>
      <c r="P1014" s="525"/>
      <c r="Q1014" s="21"/>
      <c r="R1014" s="964">
        <v>500</v>
      </c>
      <c r="S1014" s="964">
        <v>500</v>
      </c>
      <c r="T1014" s="962"/>
      <c r="U1014" s="42"/>
      <c r="V1014" s="288"/>
    </row>
    <row r="1015" spans="2:22" ht="30">
      <c r="B1015" s="646" t="s">
        <v>388</v>
      </c>
      <c r="C1015" s="646"/>
      <c r="D1015" s="647" t="s">
        <v>3825</v>
      </c>
      <c r="E1015" s="527">
        <v>41250</v>
      </c>
      <c r="F1015" s="527"/>
      <c r="G1015" s="525" t="s">
        <v>3555</v>
      </c>
      <c r="H1015" s="525"/>
      <c r="I1015" s="31"/>
      <c r="J1015" s="1233"/>
      <c r="K1015" s="31"/>
      <c r="L1015" s="21">
        <v>7500</v>
      </c>
      <c r="M1015" s="21"/>
      <c r="N1015" s="21">
        <f t="shared" si="236"/>
        <v>7500</v>
      </c>
      <c r="O1015" s="283"/>
      <c r="P1015" s="647" t="s">
        <v>110</v>
      </c>
      <c r="Q1015" s="1136" t="s">
        <v>105</v>
      </c>
      <c r="R1015" s="963">
        <v>7500</v>
      </c>
      <c r="S1015" s="963">
        <v>7500</v>
      </c>
      <c r="T1015" s="961"/>
      <c r="U1015" s="525"/>
      <c r="V1015" s="523" t="s">
        <v>307</v>
      </c>
    </row>
    <row r="1016" spans="2:22">
      <c r="B1016" s="648" t="s">
        <v>5712</v>
      </c>
      <c r="C1016" s="646"/>
      <c r="D1016" s="647"/>
      <c r="E1016" s="527"/>
      <c r="F1016" s="527"/>
      <c r="G1016" s="525"/>
      <c r="H1016" s="525"/>
      <c r="I1016" s="31"/>
      <c r="J1016" s="1233"/>
      <c r="K1016" s="31"/>
      <c r="L1016" s="21"/>
      <c r="M1016" s="21"/>
      <c r="N1016" s="21"/>
      <c r="O1016" s="283"/>
      <c r="P1016" s="647"/>
      <c r="Q1016" s="1136"/>
      <c r="R1016" s="963"/>
      <c r="S1016" s="963"/>
      <c r="T1016" s="965">
        <v>1500000</v>
      </c>
      <c r="U1016" s="525"/>
      <c r="V1016" s="523"/>
    </row>
    <row r="1017" spans="2:22">
      <c r="B1017" s="648" t="s">
        <v>5712</v>
      </c>
      <c r="C1017" s="646"/>
      <c r="D1017" s="647"/>
      <c r="E1017" s="527"/>
      <c r="F1017" s="527"/>
      <c r="G1017" s="525"/>
      <c r="H1017" s="525"/>
      <c r="I1017" s="31"/>
      <c r="J1017" s="1233"/>
      <c r="K1017" s="31"/>
      <c r="L1017" s="21"/>
      <c r="M1017" s="21"/>
      <c r="N1017" s="21"/>
      <c r="O1017" s="283"/>
      <c r="P1017" s="647"/>
      <c r="Q1017" s="1136"/>
      <c r="R1017" s="963"/>
      <c r="S1017" s="963"/>
      <c r="T1017" s="965">
        <v>2000000</v>
      </c>
      <c r="U1017" s="525"/>
      <c r="V1017" s="523"/>
    </row>
    <row r="1018" spans="2:22">
      <c r="B1018" s="648" t="s">
        <v>5712</v>
      </c>
      <c r="C1018" s="646"/>
      <c r="D1018" s="647"/>
      <c r="E1018" s="527"/>
      <c r="F1018" s="527"/>
      <c r="G1018" s="525"/>
      <c r="H1018" s="525"/>
      <c r="I1018" s="31"/>
      <c r="J1018" s="1233"/>
      <c r="K1018" s="31"/>
      <c r="L1018" s="21"/>
      <c r="M1018" s="21"/>
      <c r="N1018" s="21"/>
      <c r="O1018" s="283"/>
      <c r="P1018" s="647"/>
      <c r="Q1018" s="1136"/>
      <c r="R1018" s="963"/>
      <c r="S1018" s="963"/>
      <c r="T1018" s="965">
        <v>4000000</v>
      </c>
      <c r="U1018" s="525"/>
      <c r="V1018" s="523"/>
    </row>
    <row r="1019" spans="2:22" ht="30">
      <c r="B1019" s="646" t="s">
        <v>349</v>
      </c>
      <c r="C1019" s="646"/>
      <c r="D1019" s="647" t="s">
        <v>3826</v>
      </c>
      <c r="E1019" s="527">
        <v>41250</v>
      </c>
      <c r="F1019" s="527"/>
      <c r="G1019" s="525" t="s">
        <v>315</v>
      </c>
      <c r="H1019" s="525"/>
      <c r="I1019" s="31"/>
      <c r="J1019" s="1233"/>
      <c r="K1019" s="31"/>
      <c r="L1019" s="21">
        <v>15000</v>
      </c>
      <c r="M1019" s="21"/>
      <c r="N1019" s="21">
        <f t="shared" si="236"/>
        <v>15000</v>
      </c>
      <c r="O1019" s="283"/>
      <c r="P1019" s="647" t="s">
        <v>110</v>
      </c>
      <c r="Q1019" s="1136" t="s">
        <v>105</v>
      </c>
      <c r="R1019" s="70"/>
      <c r="S1019" s="70"/>
      <c r="T1019" s="961"/>
      <c r="U1019" s="525"/>
      <c r="V1019" s="523" t="s">
        <v>307</v>
      </c>
    </row>
    <row r="1020" spans="2:22">
      <c r="B1020" s="648" t="s">
        <v>2170</v>
      </c>
      <c r="C1020" s="648"/>
      <c r="D1020" s="649"/>
      <c r="E1020" s="444"/>
      <c r="F1020" s="444"/>
      <c r="G1020" s="42"/>
      <c r="H1020" s="42"/>
      <c r="L1020" s="283"/>
      <c r="M1020" s="283"/>
      <c r="N1020" s="283"/>
      <c r="O1020" s="283"/>
      <c r="P1020" s="525"/>
      <c r="Q1020" s="21"/>
      <c r="R1020" s="1015">
        <v>5000</v>
      </c>
      <c r="S1020" s="1015">
        <v>5000</v>
      </c>
      <c r="T1020" s="962"/>
      <c r="U1020" s="42"/>
      <c r="V1020" s="288"/>
    </row>
    <row r="1021" spans="2:22">
      <c r="B1021" s="648" t="s">
        <v>2173</v>
      </c>
      <c r="C1021" s="648"/>
      <c r="D1021" s="649"/>
      <c r="E1021" s="444"/>
      <c r="F1021" s="444"/>
      <c r="G1021" s="42"/>
      <c r="H1021" s="42"/>
      <c r="L1021" s="283"/>
      <c r="M1021" s="283"/>
      <c r="N1021" s="283"/>
      <c r="O1021" s="283"/>
      <c r="P1021" s="525"/>
      <c r="Q1021" s="21"/>
      <c r="R1021" s="1015">
        <v>5000</v>
      </c>
      <c r="S1021" s="1015">
        <v>5000</v>
      </c>
      <c r="T1021" s="962"/>
      <c r="U1021" s="42"/>
      <c r="V1021" s="288"/>
    </row>
    <row r="1022" spans="2:22">
      <c r="B1022" s="648" t="s">
        <v>3827</v>
      </c>
      <c r="C1022" s="648"/>
      <c r="D1022" s="649"/>
      <c r="E1022" s="444"/>
      <c r="F1022" s="444"/>
      <c r="G1022" s="42"/>
      <c r="H1022" s="42"/>
      <c r="L1022" s="283"/>
      <c r="M1022" s="283"/>
      <c r="N1022" s="283"/>
      <c r="O1022" s="283"/>
      <c r="P1022" s="525"/>
      <c r="Q1022" s="21"/>
      <c r="R1022" s="1015">
        <v>5000</v>
      </c>
      <c r="S1022" s="1015">
        <v>5000</v>
      </c>
      <c r="T1022" s="962"/>
      <c r="U1022" s="42"/>
      <c r="V1022" s="288"/>
    </row>
    <row r="1023" spans="2:22" ht="30">
      <c r="B1023" s="646" t="s">
        <v>311</v>
      </c>
      <c r="C1023" s="646"/>
      <c r="D1023" s="647" t="s">
        <v>3828</v>
      </c>
      <c r="E1023" s="527">
        <v>41250</v>
      </c>
      <c r="F1023" s="527"/>
      <c r="G1023" s="525" t="s">
        <v>315</v>
      </c>
      <c r="H1023" s="525"/>
      <c r="I1023" s="31"/>
      <c r="J1023" s="1233"/>
      <c r="K1023" s="31"/>
      <c r="L1023" s="21">
        <v>11000</v>
      </c>
      <c r="M1023" s="21"/>
      <c r="N1023" s="21">
        <f t="shared" si="236"/>
        <v>11000</v>
      </c>
      <c r="O1023" s="283"/>
      <c r="P1023" s="647" t="s">
        <v>110</v>
      </c>
      <c r="Q1023" s="1136" t="s">
        <v>105</v>
      </c>
      <c r="R1023" s="1064">
        <f>SUM(R1024:R1025)</f>
        <v>11000</v>
      </c>
      <c r="S1023" s="1064">
        <f>SUM(S1024:S1025)</f>
        <v>11000</v>
      </c>
      <c r="T1023" s="961"/>
      <c r="U1023" s="525"/>
      <c r="V1023" s="523" t="s">
        <v>307</v>
      </c>
    </row>
    <row r="1024" spans="2:22" ht="30">
      <c r="B1024" s="646"/>
      <c r="C1024" s="646"/>
      <c r="D1024" s="647"/>
      <c r="E1024" s="527"/>
      <c r="F1024" s="527"/>
      <c r="G1024" s="525"/>
      <c r="H1024" s="525"/>
      <c r="I1024" s="31"/>
      <c r="J1024" s="1233"/>
      <c r="K1024" s="31"/>
      <c r="L1024" s="795"/>
      <c r="M1024" s="21"/>
      <c r="N1024" s="21">
        <f>SUM(L1024:M1024)</f>
        <v>0</v>
      </c>
      <c r="O1024" s="283"/>
      <c r="P1024" s="647"/>
      <c r="Q1024" s="1136"/>
      <c r="R1024" s="35">
        <v>5000</v>
      </c>
      <c r="S1024" s="35">
        <v>5000</v>
      </c>
      <c r="T1024" s="961" t="s">
        <v>5474</v>
      </c>
      <c r="U1024" s="525"/>
      <c r="V1024" s="523"/>
    </row>
    <row r="1025" spans="2:22" ht="30">
      <c r="B1025" s="646"/>
      <c r="C1025" s="646"/>
      <c r="D1025" s="647"/>
      <c r="E1025" s="527"/>
      <c r="F1025" s="527"/>
      <c r="G1025" s="525"/>
      <c r="H1025" s="525"/>
      <c r="I1025" s="31"/>
      <c r="J1025" s="1233"/>
      <c r="K1025" s="31"/>
      <c r="L1025" s="795"/>
      <c r="M1025" s="21"/>
      <c r="N1025" s="21">
        <f>SUM(L1025:M1025)</f>
        <v>0</v>
      </c>
      <c r="O1025" s="283"/>
      <c r="P1025" s="647"/>
      <c r="Q1025" s="1136"/>
      <c r="R1025" s="35">
        <v>6000</v>
      </c>
      <c r="S1025" s="35">
        <v>6000</v>
      </c>
      <c r="T1025" s="961" t="s">
        <v>5474</v>
      </c>
      <c r="U1025" s="525"/>
      <c r="V1025" s="523"/>
    </row>
    <row r="1026" spans="2:22" ht="30">
      <c r="B1026" s="646" t="s">
        <v>314</v>
      </c>
      <c r="C1026" s="646"/>
      <c r="D1026" s="647" t="s">
        <v>3830</v>
      </c>
      <c r="E1026" s="527">
        <v>41250</v>
      </c>
      <c r="F1026" s="527"/>
      <c r="G1026" s="525" t="s">
        <v>3829</v>
      </c>
      <c r="H1026" s="525"/>
      <c r="I1026" s="31"/>
      <c r="J1026" s="1233"/>
      <c r="K1026" s="31"/>
      <c r="L1026" s="21">
        <v>2000</v>
      </c>
      <c r="M1026" s="21"/>
      <c r="N1026" s="21">
        <f t="shared" si="236"/>
        <v>2000</v>
      </c>
      <c r="O1026" s="283"/>
      <c r="P1026" s="647" t="s">
        <v>110</v>
      </c>
      <c r="Q1026" s="1136" t="s">
        <v>105</v>
      </c>
      <c r="R1026" s="963">
        <v>2000</v>
      </c>
      <c r="S1026" s="963">
        <v>2000</v>
      </c>
      <c r="T1026" s="961"/>
      <c r="U1026" s="525"/>
      <c r="V1026" s="523" t="s">
        <v>307</v>
      </c>
    </row>
    <row r="1027" spans="2:22" ht="30">
      <c r="B1027" s="646" t="s">
        <v>319</v>
      </c>
      <c r="C1027" s="646"/>
      <c r="D1027" s="647" t="s">
        <v>3832</v>
      </c>
      <c r="E1027" s="527">
        <v>41250</v>
      </c>
      <c r="F1027" s="527"/>
      <c r="G1027" s="525" t="s">
        <v>3831</v>
      </c>
      <c r="H1027" s="525"/>
      <c r="I1027" s="31"/>
      <c r="J1027" s="1233"/>
      <c r="K1027" s="31"/>
      <c r="L1027" s="21">
        <v>500</v>
      </c>
      <c r="M1027" s="21"/>
      <c r="N1027" s="21">
        <f t="shared" si="236"/>
        <v>500</v>
      </c>
      <c r="O1027" s="283"/>
      <c r="P1027" s="647" t="s">
        <v>110</v>
      </c>
      <c r="Q1027" s="1136" t="s">
        <v>105</v>
      </c>
      <c r="R1027" s="963">
        <v>500</v>
      </c>
      <c r="S1027" s="963">
        <v>500</v>
      </c>
      <c r="T1027" s="961"/>
      <c r="U1027" s="525"/>
      <c r="V1027" s="523" t="s">
        <v>307</v>
      </c>
    </row>
    <row r="1028" spans="2:22" ht="30">
      <c r="B1028" s="646" t="s">
        <v>337</v>
      </c>
      <c r="C1028" s="646"/>
      <c r="D1028" s="647" t="s">
        <v>3834</v>
      </c>
      <c r="E1028" s="527">
        <v>41250</v>
      </c>
      <c r="F1028" s="527"/>
      <c r="G1028" s="525" t="s">
        <v>3833</v>
      </c>
      <c r="H1028" s="525"/>
      <c r="I1028" s="31"/>
      <c r="J1028" s="1233"/>
      <c r="K1028" s="31"/>
      <c r="L1028" s="21">
        <v>5000</v>
      </c>
      <c r="M1028" s="21"/>
      <c r="N1028" s="21">
        <f t="shared" si="236"/>
        <v>5000</v>
      </c>
      <c r="O1028" s="283"/>
      <c r="P1028" s="647" t="s">
        <v>110</v>
      </c>
      <c r="Q1028" s="1136" t="s">
        <v>105</v>
      </c>
      <c r="R1028" s="963">
        <v>5000</v>
      </c>
      <c r="S1028" s="963">
        <v>5000</v>
      </c>
      <c r="T1028" s="961"/>
      <c r="U1028" s="525"/>
      <c r="V1028" s="523" t="s">
        <v>307</v>
      </c>
    </row>
    <row r="1029" spans="2:22" ht="30">
      <c r="B1029" s="646" t="s">
        <v>321</v>
      </c>
      <c r="C1029" s="646"/>
      <c r="D1029" s="647" t="s">
        <v>3835</v>
      </c>
      <c r="E1029" s="527">
        <v>41250</v>
      </c>
      <c r="F1029" s="527"/>
      <c r="G1029" s="525" t="s">
        <v>3809</v>
      </c>
      <c r="H1029" s="525"/>
      <c r="I1029" s="31"/>
      <c r="J1029" s="1233"/>
      <c r="K1029" s="31"/>
      <c r="L1029" s="21">
        <v>500</v>
      </c>
      <c r="M1029" s="21"/>
      <c r="N1029" s="21">
        <f t="shared" si="236"/>
        <v>500</v>
      </c>
      <c r="O1029" s="283"/>
      <c r="P1029" s="647" t="s">
        <v>110</v>
      </c>
      <c r="Q1029" s="1136" t="s">
        <v>105</v>
      </c>
      <c r="R1029" s="963">
        <v>500</v>
      </c>
      <c r="S1029" s="963">
        <v>500</v>
      </c>
      <c r="T1029" s="1089" t="s">
        <v>6452</v>
      </c>
      <c r="U1029" s="525"/>
      <c r="V1029" s="523" t="s">
        <v>307</v>
      </c>
    </row>
    <row r="1030" spans="2:22" ht="30">
      <c r="B1030" s="646" t="s">
        <v>388</v>
      </c>
      <c r="C1030" s="646"/>
      <c r="D1030" s="647" t="s">
        <v>3837</v>
      </c>
      <c r="E1030" s="527">
        <v>41250</v>
      </c>
      <c r="F1030" s="527"/>
      <c r="G1030" s="525" t="s">
        <v>3836</v>
      </c>
      <c r="H1030" s="525"/>
      <c r="I1030" s="31"/>
      <c r="J1030" s="1233"/>
      <c r="K1030" s="31"/>
      <c r="L1030" s="21">
        <v>1000</v>
      </c>
      <c r="M1030" s="21"/>
      <c r="N1030" s="21">
        <f t="shared" si="236"/>
        <v>1000</v>
      </c>
      <c r="O1030" s="283"/>
      <c r="P1030" s="647" t="s">
        <v>110</v>
      </c>
      <c r="Q1030" s="1136" t="s">
        <v>105</v>
      </c>
      <c r="R1030" s="963">
        <v>1000</v>
      </c>
      <c r="S1030" s="963">
        <v>1000</v>
      </c>
      <c r="T1030" s="961"/>
      <c r="U1030" s="525"/>
      <c r="V1030" s="523" t="s">
        <v>307</v>
      </c>
    </row>
    <row r="1031" spans="2:22" ht="30">
      <c r="B1031" s="646" t="s">
        <v>2651</v>
      </c>
      <c r="C1031" s="646"/>
      <c r="D1031" s="647" t="s">
        <v>3838</v>
      </c>
      <c r="E1031" s="527">
        <v>41236</v>
      </c>
      <c r="F1031" s="527"/>
      <c r="G1031" s="525" t="s">
        <v>2510</v>
      </c>
      <c r="H1031" s="525"/>
      <c r="I1031" s="31"/>
      <c r="J1031" s="1233"/>
      <c r="K1031" s="31"/>
      <c r="L1031" s="21">
        <v>2000</v>
      </c>
      <c r="M1031" s="21"/>
      <c r="N1031" s="21">
        <f t="shared" si="236"/>
        <v>2000</v>
      </c>
      <c r="O1031" s="283"/>
      <c r="P1031" s="647" t="s">
        <v>110</v>
      </c>
      <c r="Q1031" s="1136" t="s">
        <v>105</v>
      </c>
      <c r="R1031" s="963">
        <v>2000</v>
      </c>
      <c r="S1031" s="963">
        <v>2000</v>
      </c>
      <c r="T1031" s="965" t="s">
        <v>6187</v>
      </c>
      <c r="U1031" s="525"/>
      <c r="V1031" s="523" t="s">
        <v>307</v>
      </c>
    </row>
    <row r="1032" spans="2:22" ht="30">
      <c r="B1032" s="646" t="s">
        <v>314</v>
      </c>
      <c r="C1032" s="646"/>
      <c r="D1032" s="647" t="s">
        <v>3839</v>
      </c>
      <c r="E1032" s="527">
        <v>41236</v>
      </c>
      <c r="F1032" s="527"/>
      <c r="G1032" s="525" t="s">
        <v>315</v>
      </c>
      <c r="H1032" s="525"/>
      <c r="I1032" s="31"/>
      <c r="J1032" s="1233"/>
      <c r="K1032" s="31"/>
      <c r="L1032" s="21">
        <v>5000</v>
      </c>
      <c r="M1032" s="21"/>
      <c r="N1032" s="21">
        <f t="shared" si="236"/>
        <v>5000</v>
      </c>
      <c r="O1032" s="283"/>
      <c r="P1032" s="647" t="s">
        <v>110</v>
      </c>
      <c r="Q1032" s="1136" t="s">
        <v>105</v>
      </c>
      <c r="R1032" s="963">
        <v>5000</v>
      </c>
      <c r="S1032" s="963">
        <v>5000</v>
      </c>
      <c r="T1032" s="965" t="s">
        <v>6188</v>
      </c>
      <c r="U1032" s="525"/>
      <c r="V1032" s="523" t="s">
        <v>307</v>
      </c>
    </row>
    <row r="1033" spans="2:22" ht="30">
      <c r="B1033" s="646" t="s">
        <v>2651</v>
      </c>
      <c r="C1033" s="646"/>
      <c r="D1033" s="647" t="s">
        <v>3841</v>
      </c>
      <c r="E1033" s="527">
        <v>41236</v>
      </c>
      <c r="F1033" s="527"/>
      <c r="G1033" s="526" t="s">
        <v>3840</v>
      </c>
      <c r="H1033" s="525"/>
      <c r="I1033" s="31"/>
      <c r="J1033" s="1233"/>
      <c r="K1033" s="31"/>
      <c r="L1033" s="21">
        <v>3000</v>
      </c>
      <c r="M1033" s="21"/>
      <c r="N1033" s="21">
        <f t="shared" si="236"/>
        <v>3000</v>
      </c>
      <c r="O1033" s="283"/>
      <c r="P1033" s="647" t="s">
        <v>110</v>
      </c>
      <c r="Q1033" s="1136" t="s">
        <v>105</v>
      </c>
      <c r="R1033" s="963">
        <v>3000</v>
      </c>
      <c r="S1033" s="963">
        <v>3000</v>
      </c>
      <c r="T1033" s="961"/>
      <c r="U1033" s="525"/>
      <c r="V1033" s="523" t="s">
        <v>307</v>
      </c>
    </row>
    <row r="1034" spans="2:22" ht="30">
      <c r="B1034" s="646" t="s">
        <v>380</v>
      </c>
      <c r="C1034" s="646"/>
      <c r="D1034" s="647" t="s">
        <v>3842</v>
      </c>
      <c r="E1034" s="527">
        <v>41236</v>
      </c>
      <c r="F1034" s="527"/>
      <c r="G1034" s="525" t="s">
        <v>315</v>
      </c>
      <c r="H1034" s="525"/>
      <c r="I1034" s="31"/>
      <c r="J1034" s="1233"/>
      <c r="K1034" s="31"/>
      <c r="L1034" s="21">
        <v>11900</v>
      </c>
      <c r="M1034" s="21"/>
      <c r="N1034" s="21">
        <f t="shared" si="236"/>
        <v>11900</v>
      </c>
      <c r="O1034" s="283"/>
      <c r="P1034" s="647" t="s">
        <v>110</v>
      </c>
      <c r="Q1034" s="1136" t="s">
        <v>105</v>
      </c>
      <c r="R1034" s="70"/>
      <c r="S1034" s="70"/>
      <c r="T1034" s="961"/>
      <c r="U1034" s="525"/>
      <c r="V1034" s="523" t="s">
        <v>307</v>
      </c>
    </row>
    <row r="1035" spans="2:22">
      <c r="B1035" s="648" t="s">
        <v>3843</v>
      </c>
      <c r="C1035" s="648"/>
      <c r="D1035" s="649"/>
      <c r="E1035" s="444"/>
      <c r="F1035" s="444"/>
      <c r="G1035" s="42"/>
      <c r="H1035" s="42"/>
      <c r="L1035" s="283"/>
      <c r="M1035" s="283"/>
      <c r="N1035" s="283"/>
      <c r="O1035" s="283"/>
      <c r="P1035" s="525"/>
      <c r="Q1035" s="21"/>
      <c r="R1035" s="1015">
        <v>200</v>
      </c>
      <c r="S1035" s="1015">
        <v>200</v>
      </c>
      <c r="T1035" s="962">
        <v>200</v>
      </c>
      <c r="U1035" s="42"/>
      <c r="V1035" s="288"/>
    </row>
    <row r="1036" spans="2:22">
      <c r="B1036" s="648" t="s">
        <v>3844</v>
      </c>
      <c r="C1036" s="648"/>
      <c r="D1036" s="649"/>
      <c r="E1036" s="444"/>
      <c r="F1036" s="444"/>
      <c r="G1036" s="42"/>
      <c r="H1036" s="42"/>
      <c r="L1036" s="283"/>
      <c r="M1036" s="283"/>
      <c r="N1036" s="283"/>
      <c r="O1036" s="283"/>
      <c r="P1036" s="525"/>
      <c r="Q1036" s="21"/>
      <c r="R1036" s="1015">
        <v>300</v>
      </c>
      <c r="S1036" s="1015">
        <v>300</v>
      </c>
      <c r="T1036" s="962">
        <v>300</v>
      </c>
      <c r="U1036" s="42"/>
      <c r="V1036" s="288"/>
    </row>
    <row r="1037" spans="2:22">
      <c r="B1037" s="648" t="s">
        <v>3845</v>
      </c>
      <c r="C1037" s="648"/>
      <c r="D1037" s="649"/>
      <c r="E1037" s="444"/>
      <c r="F1037" s="444"/>
      <c r="G1037" s="42"/>
      <c r="H1037" s="42"/>
      <c r="L1037" s="283"/>
      <c r="M1037" s="283"/>
      <c r="N1037" s="283"/>
      <c r="O1037" s="283"/>
      <c r="P1037" s="525"/>
      <c r="Q1037" s="21"/>
      <c r="R1037" s="1015">
        <v>200</v>
      </c>
      <c r="S1037" s="1015">
        <v>200</v>
      </c>
      <c r="T1037" s="962">
        <v>42</v>
      </c>
      <c r="U1037" s="42"/>
      <c r="V1037" s="288"/>
    </row>
    <row r="1038" spans="2:22">
      <c r="B1038" s="648" t="s">
        <v>3846</v>
      </c>
      <c r="C1038" s="648"/>
      <c r="D1038" s="649"/>
      <c r="E1038" s="444"/>
      <c r="F1038" s="444"/>
      <c r="G1038" s="42"/>
      <c r="H1038" s="42"/>
      <c r="L1038" s="283"/>
      <c r="M1038" s="283"/>
      <c r="N1038" s="283"/>
      <c r="O1038" s="283"/>
      <c r="P1038" s="525"/>
      <c r="Q1038" s="21"/>
      <c r="R1038" s="1015">
        <v>200</v>
      </c>
      <c r="S1038" s="1015">
        <v>200</v>
      </c>
      <c r="T1038" s="962"/>
      <c r="U1038" s="42"/>
      <c r="V1038" s="288"/>
    </row>
    <row r="1039" spans="2:22">
      <c r="B1039" s="648" t="s">
        <v>3847</v>
      </c>
      <c r="C1039" s="648"/>
      <c r="D1039" s="649"/>
      <c r="E1039" s="444"/>
      <c r="F1039" s="444"/>
      <c r="G1039" s="42"/>
      <c r="H1039" s="42"/>
      <c r="L1039" s="283"/>
      <c r="M1039" s="283"/>
      <c r="N1039" s="283"/>
      <c r="O1039" s="283"/>
      <c r="P1039" s="525"/>
      <c r="Q1039" s="21"/>
      <c r="R1039" s="1015">
        <v>200</v>
      </c>
      <c r="S1039" s="1015">
        <v>200</v>
      </c>
      <c r="T1039" s="962"/>
      <c r="U1039" s="42"/>
      <c r="V1039" s="288"/>
    </row>
    <row r="1040" spans="2:22">
      <c r="B1040" s="648" t="s">
        <v>3848</v>
      </c>
      <c r="C1040" s="648"/>
      <c r="D1040" s="649"/>
      <c r="E1040" s="444"/>
      <c r="F1040" s="444"/>
      <c r="G1040" s="42"/>
      <c r="H1040" s="42"/>
      <c r="L1040" s="283"/>
      <c r="M1040" s="283"/>
      <c r="N1040" s="283"/>
      <c r="O1040" s="283"/>
      <c r="P1040" s="525"/>
      <c r="Q1040" s="21"/>
      <c r="R1040" s="1015">
        <v>200</v>
      </c>
      <c r="S1040" s="1015">
        <v>200</v>
      </c>
      <c r="T1040" s="962"/>
      <c r="U1040" s="42"/>
      <c r="V1040" s="288"/>
    </row>
    <row r="1041" spans="2:22">
      <c r="B1041" s="648" t="s">
        <v>3849</v>
      </c>
      <c r="C1041" s="648"/>
      <c r="D1041" s="649"/>
      <c r="E1041" s="444"/>
      <c r="F1041" s="444"/>
      <c r="G1041" s="42"/>
      <c r="H1041" s="42"/>
      <c r="L1041" s="283"/>
      <c r="M1041" s="283"/>
      <c r="N1041" s="283"/>
      <c r="O1041" s="283"/>
      <c r="P1041" s="525"/>
      <c r="Q1041" s="21"/>
      <c r="R1041" s="1015">
        <v>200</v>
      </c>
      <c r="S1041" s="1015">
        <v>200</v>
      </c>
      <c r="T1041" s="962"/>
      <c r="U1041" s="42"/>
      <c r="V1041" s="288"/>
    </row>
    <row r="1042" spans="2:22">
      <c r="B1042" s="648" t="s">
        <v>3850</v>
      </c>
      <c r="C1042" s="648"/>
      <c r="D1042" s="649"/>
      <c r="E1042" s="444"/>
      <c r="F1042" s="444"/>
      <c r="G1042" s="42"/>
      <c r="H1042" s="42"/>
      <c r="L1042" s="283"/>
      <c r="M1042" s="283"/>
      <c r="N1042" s="283"/>
      <c r="O1042" s="283"/>
      <c r="P1042" s="525"/>
      <c r="Q1042" s="21"/>
      <c r="R1042" s="1015">
        <v>200</v>
      </c>
      <c r="S1042" s="1015">
        <v>200</v>
      </c>
      <c r="T1042" s="962"/>
      <c r="U1042" s="42"/>
      <c r="V1042" s="288"/>
    </row>
    <row r="1043" spans="2:22">
      <c r="B1043" s="648" t="s">
        <v>3851</v>
      </c>
      <c r="C1043" s="648"/>
      <c r="D1043" s="649"/>
      <c r="E1043" s="444"/>
      <c r="F1043" s="444"/>
      <c r="G1043" s="42"/>
      <c r="H1043" s="42"/>
      <c r="L1043" s="283"/>
      <c r="M1043" s="283"/>
      <c r="N1043" s="283"/>
      <c r="O1043" s="283"/>
      <c r="P1043" s="525"/>
      <c r="Q1043" s="21"/>
      <c r="R1043" s="1015">
        <v>200</v>
      </c>
      <c r="S1043" s="1015">
        <v>200</v>
      </c>
      <c r="T1043" s="962"/>
      <c r="U1043" s="42"/>
      <c r="V1043" s="288"/>
    </row>
    <row r="1044" spans="2:22">
      <c r="B1044" s="648" t="s">
        <v>3852</v>
      </c>
      <c r="C1044" s="648"/>
      <c r="D1044" s="649"/>
      <c r="E1044" s="444"/>
      <c r="F1044" s="444"/>
      <c r="G1044" s="42"/>
      <c r="H1044" s="42"/>
      <c r="L1044" s="283"/>
      <c r="M1044" s="283"/>
      <c r="N1044" s="283"/>
      <c r="O1044" s="283"/>
      <c r="P1044" s="525"/>
      <c r="Q1044" s="21"/>
      <c r="R1044" s="1015">
        <v>200</v>
      </c>
      <c r="S1044" s="1015">
        <v>200</v>
      </c>
      <c r="T1044" s="962"/>
      <c r="U1044" s="42"/>
      <c r="V1044" s="288"/>
    </row>
    <row r="1045" spans="2:22">
      <c r="B1045" s="648" t="s">
        <v>3853</v>
      </c>
      <c r="C1045" s="648"/>
      <c r="D1045" s="649"/>
      <c r="E1045" s="444"/>
      <c r="F1045" s="444"/>
      <c r="G1045" s="42"/>
      <c r="H1045" s="42"/>
      <c r="L1045" s="283"/>
      <c r="M1045" s="283"/>
      <c r="N1045" s="283"/>
      <c r="O1045" s="283"/>
      <c r="P1045" s="525"/>
      <c r="Q1045" s="21"/>
      <c r="R1045" s="1015">
        <v>200</v>
      </c>
      <c r="S1045" s="1015">
        <v>200</v>
      </c>
      <c r="T1045" s="962"/>
      <c r="U1045" s="42"/>
      <c r="V1045" s="288"/>
    </row>
    <row r="1046" spans="2:22">
      <c r="B1046" s="648" t="s">
        <v>3854</v>
      </c>
      <c r="C1046" s="648"/>
      <c r="D1046" s="649"/>
      <c r="E1046" s="444"/>
      <c r="F1046" s="444"/>
      <c r="G1046" s="42"/>
      <c r="H1046" s="42"/>
      <c r="L1046" s="283"/>
      <c r="M1046" s="283"/>
      <c r="N1046" s="283"/>
      <c r="O1046" s="283"/>
      <c r="P1046" s="525"/>
      <c r="Q1046" s="21"/>
      <c r="R1046" s="1015">
        <v>200</v>
      </c>
      <c r="S1046" s="1015">
        <v>200</v>
      </c>
      <c r="T1046" s="962"/>
      <c r="U1046" s="42"/>
      <c r="V1046" s="288"/>
    </row>
    <row r="1047" spans="2:22">
      <c r="B1047" s="648" t="s">
        <v>3855</v>
      </c>
      <c r="C1047" s="648"/>
      <c r="D1047" s="649"/>
      <c r="E1047" s="444"/>
      <c r="F1047" s="444"/>
      <c r="G1047" s="42"/>
      <c r="H1047" s="42"/>
      <c r="L1047" s="283"/>
      <c r="M1047" s="283"/>
      <c r="N1047" s="283"/>
      <c r="O1047" s="283"/>
      <c r="P1047" s="525"/>
      <c r="Q1047" s="21"/>
      <c r="R1047" s="1015">
        <v>200</v>
      </c>
      <c r="S1047" s="1015">
        <v>200</v>
      </c>
      <c r="T1047" s="962"/>
      <c r="U1047" s="42"/>
      <c r="V1047" s="288"/>
    </row>
    <row r="1048" spans="2:22">
      <c r="B1048" s="648" t="s">
        <v>3856</v>
      </c>
      <c r="C1048" s="648"/>
      <c r="D1048" s="649"/>
      <c r="E1048" s="444"/>
      <c r="F1048" s="444"/>
      <c r="G1048" s="42"/>
      <c r="H1048" s="42"/>
      <c r="L1048" s="283"/>
      <c r="M1048" s="283"/>
      <c r="N1048" s="283"/>
      <c r="O1048" s="283"/>
      <c r="P1048" s="525"/>
      <c r="Q1048" s="21"/>
      <c r="R1048" s="1015">
        <v>200</v>
      </c>
      <c r="S1048" s="1015">
        <v>200</v>
      </c>
      <c r="T1048" s="962"/>
      <c r="U1048" s="42"/>
      <c r="V1048" s="288"/>
    </row>
    <row r="1049" spans="2:22">
      <c r="B1049" s="648" t="s">
        <v>3857</v>
      </c>
      <c r="C1049" s="648"/>
      <c r="D1049" s="649"/>
      <c r="E1049" s="444"/>
      <c r="F1049" s="444"/>
      <c r="G1049" s="42"/>
      <c r="H1049" s="42"/>
      <c r="L1049" s="283"/>
      <c r="M1049" s="283"/>
      <c r="N1049" s="283"/>
      <c r="O1049" s="283"/>
      <c r="P1049" s="525"/>
      <c r="Q1049" s="21"/>
      <c r="R1049" s="1015">
        <v>200</v>
      </c>
      <c r="S1049" s="1015">
        <v>200</v>
      </c>
      <c r="T1049" s="962"/>
      <c r="U1049" s="42"/>
      <c r="V1049" s="288"/>
    </row>
    <row r="1050" spans="2:22">
      <c r="B1050" s="648" t="s">
        <v>3858</v>
      </c>
      <c r="C1050" s="648"/>
      <c r="D1050" s="649"/>
      <c r="E1050" s="444"/>
      <c r="F1050" s="444"/>
      <c r="G1050" s="42"/>
      <c r="H1050" s="42"/>
      <c r="L1050" s="283"/>
      <c r="M1050" s="283"/>
      <c r="N1050" s="283"/>
      <c r="O1050" s="283"/>
      <c r="P1050" s="525"/>
      <c r="Q1050" s="21"/>
      <c r="R1050" s="1015">
        <v>200</v>
      </c>
      <c r="S1050" s="1015">
        <v>200</v>
      </c>
      <c r="T1050" s="962"/>
      <c r="U1050" s="42"/>
      <c r="V1050" s="288"/>
    </row>
    <row r="1051" spans="2:22">
      <c r="B1051" s="648" t="s">
        <v>2474</v>
      </c>
      <c r="C1051" s="648"/>
      <c r="D1051" s="649"/>
      <c r="E1051" s="444"/>
      <c r="F1051" s="444"/>
      <c r="G1051" s="42"/>
      <c r="H1051" s="42"/>
      <c r="L1051" s="283"/>
      <c r="M1051" s="283"/>
      <c r="N1051" s="283"/>
      <c r="O1051" s="283"/>
      <c r="P1051" s="525"/>
      <c r="Q1051" s="21"/>
      <c r="R1051" s="1015">
        <v>200</v>
      </c>
      <c r="S1051" s="1015">
        <v>200</v>
      </c>
      <c r="T1051" s="962"/>
      <c r="U1051" s="42"/>
      <c r="V1051" s="288"/>
    </row>
    <row r="1052" spans="2:22">
      <c r="B1052" s="648" t="s">
        <v>3859</v>
      </c>
      <c r="C1052" s="648"/>
      <c r="D1052" s="649"/>
      <c r="E1052" s="444"/>
      <c r="F1052" s="444"/>
      <c r="G1052" s="42"/>
      <c r="H1052" s="42"/>
      <c r="L1052" s="283"/>
      <c r="M1052" s="283"/>
      <c r="N1052" s="283"/>
      <c r="O1052" s="283"/>
      <c r="P1052" s="525"/>
      <c r="Q1052" s="21"/>
      <c r="R1052" s="1015">
        <v>300</v>
      </c>
      <c r="S1052" s="1015">
        <v>300</v>
      </c>
      <c r="T1052" s="962"/>
      <c r="U1052" s="42"/>
      <c r="V1052" s="288"/>
    </row>
    <row r="1053" spans="2:22">
      <c r="B1053" s="648" t="s">
        <v>2307</v>
      </c>
      <c r="C1053" s="648"/>
      <c r="D1053" s="649"/>
      <c r="E1053" s="444"/>
      <c r="F1053" s="444"/>
      <c r="G1053" s="42"/>
      <c r="H1053" s="42"/>
      <c r="L1053" s="283"/>
      <c r="M1053" s="283"/>
      <c r="N1053" s="283"/>
      <c r="O1053" s="283"/>
      <c r="P1053" s="525"/>
      <c r="Q1053" s="21"/>
      <c r="R1053" s="1015">
        <v>300</v>
      </c>
      <c r="S1053" s="1015">
        <v>300</v>
      </c>
      <c r="T1053" s="962"/>
      <c r="U1053" s="42"/>
      <c r="V1053" s="288"/>
    </row>
    <row r="1054" spans="2:22">
      <c r="B1054" s="648" t="s">
        <v>2308</v>
      </c>
      <c r="C1054" s="648"/>
      <c r="D1054" s="649"/>
      <c r="E1054" s="444"/>
      <c r="F1054" s="444"/>
      <c r="G1054" s="42"/>
      <c r="H1054" s="42"/>
      <c r="L1054" s="283"/>
      <c r="M1054" s="283"/>
      <c r="N1054" s="283"/>
      <c r="O1054" s="283"/>
      <c r="P1054" s="525"/>
      <c r="Q1054" s="21"/>
      <c r="R1054" s="1015">
        <v>300</v>
      </c>
      <c r="S1054" s="1015">
        <v>300</v>
      </c>
      <c r="T1054" s="962"/>
      <c r="U1054" s="42"/>
      <c r="V1054" s="288"/>
    </row>
    <row r="1055" spans="2:22">
      <c r="B1055" s="648" t="s">
        <v>3860</v>
      </c>
      <c r="C1055" s="648"/>
      <c r="D1055" s="649"/>
      <c r="E1055" s="444"/>
      <c r="F1055" s="444"/>
      <c r="G1055" s="42"/>
      <c r="H1055" s="42"/>
      <c r="L1055" s="283"/>
      <c r="M1055" s="283"/>
      <c r="N1055" s="283"/>
      <c r="O1055" s="283"/>
      <c r="P1055" s="525"/>
      <c r="Q1055" s="21"/>
      <c r="R1055" s="1015">
        <v>300</v>
      </c>
      <c r="S1055" s="1015">
        <v>300</v>
      </c>
      <c r="T1055" s="962"/>
      <c r="U1055" s="42"/>
      <c r="V1055" s="288"/>
    </row>
    <row r="1056" spans="2:22">
      <c r="B1056" s="648" t="s">
        <v>2487</v>
      </c>
      <c r="C1056" s="648"/>
      <c r="D1056" s="649"/>
      <c r="E1056" s="444"/>
      <c r="F1056" s="444"/>
      <c r="G1056" s="42"/>
      <c r="H1056" s="42"/>
      <c r="L1056" s="283"/>
      <c r="M1056" s="283"/>
      <c r="N1056" s="283"/>
      <c r="O1056" s="283"/>
      <c r="P1056" s="525"/>
      <c r="Q1056" s="21"/>
      <c r="R1056" s="1015">
        <v>300</v>
      </c>
      <c r="S1056" s="1015">
        <v>300</v>
      </c>
      <c r="T1056" s="962"/>
      <c r="U1056" s="42"/>
      <c r="V1056" s="288"/>
    </row>
    <row r="1057" spans="2:22">
      <c r="B1057" s="648" t="s">
        <v>3861</v>
      </c>
      <c r="C1057" s="648"/>
      <c r="D1057" s="649"/>
      <c r="E1057" s="444"/>
      <c r="F1057" s="444"/>
      <c r="G1057" s="42"/>
      <c r="H1057" s="42"/>
      <c r="L1057" s="283"/>
      <c r="M1057" s="283"/>
      <c r="N1057" s="283"/>
      <c r="O1057" s="283"/>
      <c r="P1057" s="525"/>
      <c r="Q1057" s="21"/>
      <c r="R1057" s="1015">
        <v>300</v>
      </c>
      <c r="S1057" s="1015">
        <v>300</v>
      </c>
      <c r="T1057" s="962"/>
      <c r="U1057" s="42"/>
      <c r="V1057" s="288"/>
    </row>
    <row r="1058" spans="2:22">
      <c r="B1058" s="648" t="s">
        <v>2309</v>
      </c>
      <c r="C1058" s="648"/>
      <c r="D1058" s="649"/>
      <c r="E1058" s="444"/>
      <c r="F1058" s="444"/>
      <c r="G1058" s="42"/>
      <c r="H1058" s="42"/>
      <c r="L1058" s="283"/>
      <c r="M1058" s="283"/>
      <c r="N1058" s="283"/>
      <c r="O1058" s="283"/>
      <c r="P1058" s="525"/>
      <c r="Q1058" s="21"/>
      <c r="R1058" s="1015">
        <v>300</v>
      </c>
      <c r="S1058" s="1015">
        <v>300</v>
      </c>
      <c r="T1058" s="962"/>
      <c r="U1058" s="42"/>
      <c r="V1058" s="288"/>
    </row>
    <row r="1059" spans="2:22">
      <c r="B1059" s="648" t="s">
        <v>3862</v>
      </c>
      <c r="C1059" s="648"/>
      <c r="D1059" s="649"/>
      <c r="E1059" s="444"/>
      <c r="F1059" s="444"/>
      <c r="G1059" s="42"/>
      <c r="H1059" s="42"/>
      <c r="L1059" s="283"/>
      <c r="M1059" s="283"/>
      <c r="N1059" s="283"/>
      <c r="O1059" s="283"/>
      <c r="P1059" s="525"/>
      <c r="Q1059" s="21"/>
      <c r="R1059" s="1015">
        <v>300</v>
      </c>
      <c r="S1059" s="1015">
        <v>300</v>
      </c>
      <c r="T1059" s="962"/>
      <c r="U1059" s="42"/>
      <c r="V1059" s="288"/>
    </row>
    <row r="1060" spans="2:22">
      <c r="B1060" s="648" t="s">
        <v>2489</v>
      </c>
      <c r="C1060" s="648"/>
      <c r="D1060" s="649"/>
      <c r="E1060" s="444"/>
      <c r="F1060" s="444"/>
      <c r="G1060" s="42"/>
      <c r="H1060" s="42"/>
      <c r="L1060" s="283"/>
      <c r="M1060" s="283"/>
      <c r="N1060" s="283"/>
      <c r="O1060" s="283"/>
      <c r="P1060" s="525"/>
      <c r="Q1060" s="21"/>
      <c r="R1060" s="1015">
        <v>300</v>
      </c>
      <c r="S1060" s="1015">
        <v>300</v>
      </c>
      <c r="T1060" s="962"/>
      <c r="U1060" s="42"/>
      <c r="V1060" s="288"/>
    </row>
    <row r="1061" spans="2:22">
      <c r="B1061" s="648" t="s">
        <v>3863</v>
      </c>
      <c r="C1061" s="648"/>
      <c r="D1061" s="649"/>
      <c r="E1061" s="444"/>
      <c r="F1061" s="444"/>
      <c r="G1061" s="42"/>
      <c r="H1061" s="42"/>
      <c r="L1061" s="283"/>
      <c r="M1061" s="283"/>
      <c r="N1061" s="283"/>
      <c r="O1061" s="283"/>
      <c r="P1061" s="525"/>
      <c r="Q1061" s="21"/>
      <c r="R1061" s="1015">
        <v>300</v>
      </c>
      <c r="S1061" s="1015">
        <v>300</v>
      </c>
      <c r="T1061" s="962"/>
      <c r="U1061" s="42"/>
      <c r="V1061" s="288"/>
    </row>
    <row r="1062" spans="2:22">
      <c r="B1062" s="648" t="s">
        <v>3864</v>
      </c>
      <c r="C1062" s="648"/>
      <c r="D1062" s="649"/>
      <c r="E1062" s="444"/>
      <c r="F1062" s="444"/>
      <c r="G1062" s="42"/>
      <c r="H1062" s="42"/>
      <c r="L1062" s="283"/>
      <c r="M1062" s="283"/>
      <c r="N1062" s="283"/>
      <c r="O1062" s="283"/>
      <c r="P1062" s="525"/>
      <c r="Q1062" s="21"/>
      <c r="R1062" s="1015">
        <v>300</v>
      </c>
      <c r="S1062" s="1015">
        <v>300</v>
      </c>
      <c r="T1062" s="962"/>
      <c r="U1062" s="42"/>
      <c r="V1062" s="288"/>
    </row>
    <row r="1063" spans="2:22">
      <c r="B1063" s="648" t="s">
        <v>2310</v>
      </c>
      <c r="C1063" s="648"/>
      <c r="D1063" s="649"/>
      <c r="E1063" s="444"/>
      <c r="F1063" s="444"/>
      <c r="G1063" s="42"/>
      <c r="H1063" s="42"/>
      <c r="L1063" s="283"/>
      <c r="M1063" s="283"/>
      <c r="N1063" s="283"/>
      <c r="O1063" s="283"/>
      <c r="P1063" s="525"/>
      <c r="Q1063" s="21"/>
      <c r="R1063" s="1015">
        <v>300</v>
      </c>
      <c r="S1063" s="1015">
        <v>300</v>
      </c>
      <c r="T1063" s="962"/>
      <c r="U1063" s="42"/>
      <c r="V1063" s="288"/>
    </row>
    <row r="1064" spans="2:22">
      <c r="B1064" s="648" t="s">
        <v>2311</v>
      </c>
      <c r="C1064" s="648"/>
      <c r="D1064" s="649"/>
      <c r="E1064" s="444"/>
      <c r="F1064" s="444"/>
      <c r="G1064" s="42"/>
      <c r="H1064" s="42"/>
      <c r="L1064" s="283"/>
      <c r="M1064" s="283"/>
      <c r="N1064" s="283"/>
      <c r="O1064" s="283"/>
      <c r="P1064" s="525"/>
      <c r="Q1064" s="21"/>
      <c r="R1064" s="1015">
        <v>300</v>
      </c>
      <c r="S1064" s="1015">
        <v>300</v>
      </c>
      <c r="T1064" s="962"/>
      <c r="U1064" s="42"/>
      <c r="V1064" s="288"/>
    </row>
    <row r="1065" spans="2:22">
      <c r="B1065" s="648" t="s">
        <v>2492</v>
      </c>
      <c r="C1065" s="648"/>
      <c r="D1065" s="649"/>
      <c r="E1065" s="444"/>
      <c r="F1065" s="444"/>
      <c r="G1065" s="42"/>
      <c r="H1065" s="42"/>
      <c r="L1065" s="283"/>
      <c r="M1065" s="283"/>
      <c r="N1065" s="283"/>
      <c r="O1065" s="283"/>
      <c r="P1065" s="525"/>
      <c r="Q1065" s="21"/>
      <c r="R1065" s="1015">
        <v>300</v>
      </c>
      <c r="S1065" s="1015">
        <v>300</v>
      </c>
      <c r="T1065" s="962"/>
      <c r="U1065" s="42"/>
      <c r="V1065" s="288"/>
    </row>
    <row r="1066" spans="2:22">
      <c r="B1066" s="648" t="s">
        <v>3865</v>
      </c>
      <c r="C1066" s="648"/>
      <c r="D1066" s="649"/>
      <c r="E1066" s="444"/>
      <c r="F1066" s="444"/>
      <c r="G1066" s="42"/>
      <c r="H1066" s="42"/>
      <c r="L1066" s="283"/>
      <c r="M1066" s="283"/>
      <c r="N1066" s="283"/>
      <c r="O1066" s="283"/>
      <c r="P1066" s="525"/>
      <c r="Q1066" s="21"/>
      <c r="R1066" s="1015">
        <v>300</v>
      </c>
      <c r="S1066" s="1015">
        <v>300</v>
      </c>
      <c r="T1066" s="962"/>
      <c r="U1066" s="42"/>
      <c r="V1066" s="288"/>
    </row>
    <row r="1067" spans="2:22">
      <c r="B1067" s="648" t="s">
        <v>3866</v>
      </c>
      <c r="C1067" s="648"/>
      <c r="D1067" s="649"/>
      <c r="E1067" s="444"/>
      <c r="F1067" s="444"/>
      <c r="G1067" s="42"/>
      <c r="H1067" s="42"/>
      <c r="L1067" s="283"/>
      <c r="M1067" s="283"/>
      <c r="N1067" s="283"/>
      <c r="O1067" s="283"/>
      <c r="P1067" s="525"/>
      <c r="Q1067" s="21"/>
      <c r="R1067" s="1015">
        <v>300</v>
      </c>
      <c r="S1067" s="1015">
        <v>300</v>
      </c>
      <c r="T1067" s="962"/>
      <c r="U1067" s="42"/>
      <c r="V1067" s="288"/>
    </row>
    <row r="1068" spans="2:22">
      <c r="B1068" s="648" t="s">
        <v>2494</v>
      </c>
      <c r="C1068" s="648"/>
      <c r="D1068" s="649"/>
      <c r="E1068" s="444"/>
      <c r="F1068" s="444"/>
      <c r="G1068" s="42"/>
      <c r="H1068" s="42"/>
      <c r="L1068" s="283"/>
      <c r="M1068" s="283"/>
      <c r="N1068" s="283"/>
      <c r="O1068" s="283"/>
      <c r="P1068" s="525"/>
      <c r="Q1068" s="21"/>
      <c r="R1068" s="1015">
        <v>300</v>
      </c>
      <c r="S1068" s="1015">
        <v>300</v>
      </c>
      <c r="T1068" s="962"/>
      <c r="U1068" s="42"/>
      <c r="V1068" s="288"/>
    </row>
    <row r="1069" spans="2:22">
      <c r="B1069" s="648" t="s">
        <v>2495</v>
      </c>
      <c r="C1069" s="648"/>
      <c r="D1069" s="649"/>
      <c r="E1069" s="444"/>
      <c r="F1069" s="444"/>
      <c r="G1069" s="42"/>
      <c r="H1069" s="42"/>
      <c r="L1069" s="283"/>
      <c r="M1069" s="283"/>
      <c r="N1069" s="283"/>
      <c r="O1069" s="283"/>
      <c r="P1069" s="525"/>
      <c r="Q1069" s="21"/>
      <c r="R1069" s="1015">
        <v>300</v>
      </c>
      <c r="S1069" s="1015">
        <v>300</v>
      </c>
      <c r="T1069" s="962"/>
      <c r="U1069" s="42"/>
      <c r="V1069" s="288"/>
    </row>
    <row r="1070" spans="2:22">
      <c r="B1070" s="648" t="s">
        <v>2312</v>
      </c>
      <c r="C1070" s="648"/>
      <c r="D1070" s="649"/>
      <c r="E1070" s="444"/>
      <c r="F1070" s="444"/>
      <c r="G1070" s="42"/>
      <c r="H1070" s="42"/>
      <c r="L1070" s="283"/>
      <c r="M1070" s="283"/>
      <c r="N1070" s="283"/>
      <c r="O1070" s="283"/>
      <c r="P1070" s="525"/>
      <c r="Q1070" s="21"/>
      <c r="R1070" s="1015">
        <v>300</v>
      </c>
      <c r="S1070" s="1015">
        <v>300</v>
      </c>
      <c r="T1070" s="962"/>
      <c r="U1070" s="42"/>
      <c r="V1070" s="288"/>
    </row>
    <row r="1071" spans="2:22">
      <c r="B1071" s="648" t="s">
        <v>2496</v>
      </c>
      <c r="C1071" s="648"/>
      <c r="D1071" s="649"/>
      <c r="E1071" s="444"/>
      <c r="F1071" s="444"/>
      <c r="G1071" s="42"/>
      <c r="H1071" s="42"/>
      <c r="L1071" s="283"/>
      <c r="M1071" s="283"/>
      <c r="N1071" s="283"/>
      <c r="O1071" s="283"/>
      <c r="P1071" s="525"/>
      <c r="Q1071" s="21"/>
      <c r="R1071" s="1015">
        <v>300</v>
      </c>
      <c r="S1071" s="1015">
        <v>300</v>
      </c>
      <c r="T1071" s="962"/>
      <c r="U1071" s="42"/>
      <c r="V1071" s="288"/>
    </row>
    <row r="1072" spans="2:22">
      <c r="B1072" s="648" t="s">
        <v>3867</v>
      </c>
      <c r="C1072" s="648"/>
      <c r="D1072" s="649"/>
      <c r="E1072" s="444"/>
      <c r="F1072" s="444"/>
      <c r="G1072" s="42"/>
      <c r="H1072" s="42"/>
      <c r="L1072" s="283"/>
      <c r="M1072" s="283"/>
      <c r="N1072" s="283"/>
      <c r="O1072" s="283"/>
      <c r="P1072" s="525"/>
      <c r="Q1072" s="21"/>
      <c r="R1072" s="1015">
        <v>300</v>
      </c>
      <c r="S1072" s="1015">
        <v>300</v>
      </c>
      <c r="T1072" s="962"/>
      <c r="U1072" s="42"/>
      <c r="V1072" s="288"/>
    </row>
    <row r="1073" spans="2:22">
      <c r="B1073" s="648" t="s">
        <v>2497</v>
      </c>
      <c r="C1073" s="648"/>
      <c r="D1073" s="649"/>
      <c r="E1073" s="444"/>
      <c r="F1073" s="444"/>
      <c r="G1073" s="42"/>
      <c r="H1073" s="42"/>
      <c r="L1073" s="283"/>
      <c r="M1073" s="283"/>
      <c r="N1073" s="283"/>
      <c r="O1073" s="283"/>
      <c r="P1073" s="525"/>
      <c r="Q1073" s="21"/>
      <c r="R1073" s="1015">
        <v>300</v>
      </c>
      <c r="S1073" s="1015">
        <v>300</v>
      </c>
      <c r="T1073" s="962"/>
      <c r="U1073" s="42"/>
      <c r="V1073" s="288"/>
    </row>
    <row r="1074" spans="2:22">
      <c r="B1074" s="648" t="s">
        <v>2498</v>
      </c>
      <c r="C1074" s="648"/>
      <c r="D1074" s="649"/>
      <c r="E1074" s="444"/>
      <c r="F1074" s="444"/>
      <c r="G1074" s="42"/>
      <c r="H1074" s="42"/>
      <c r="L1074" s="283"/>
      <c r="M1074" s="283"/>
      <c r="N1074" s="283"/>
      <c r="O1074" s="283"/>
      <c r="P1074" s="525"/>
      <c r="Q1074" s="21"/>
      <c r="R1074" s="1015">
        <v>300</v>
      </c>
      <c r="S1074" s="1015">
        <v>300</v>
      </c>
      <c r="T1074" s="962"/>
      <c r="U1074" s="42"/>
      <c r="V1074" s="288"/>
    </row>
    <row r="1075" spans="2:22">
      <c r="B1075" s="648" t="s">
        <v>3868</v>
      </c>
      <c r="C1075" s="648"/>
      <c r="D1075" s="649"/>
      <c r="E1075" s="444"/>
      <c r="F1075" s="444"/>
      <c r="G1075" s="42"/>
      <c r="H1075" s="42"/>
      <c r="L1075" s="283"/>
      <c r="M1075" s="283"/>
      <c r="N1075" s="283"/>
      <c r="O1075" s="283"/>
      <c r="P1075" s="525"/>
      <c r="Q1075" s="21"/>
      <c r="R1075" s="1015">
        <v>200</v>
      </c>
      <c r="S1075" s="1015">
        <v>200</v>
      </c>
      <c r="T1075" s="962"/>
      <c r="U1075" s="42"/>
      <c r="V1075" s="288"/>
    </row>
    <row r="1076" spans="2:22">
      <c r="B1076" s="648" t="s">
        <v>3869</v>
      </c>
      <c r="C1076" s="648"/>
      <c r="D1076" s="649"/>
      <c r="E1076" s="444"/>
      <c r="F1076" s="444"/>
      <c r="G1076" s="42"/>
      <c r="H1076" s="42"/>
      <c r="L1076" s="283"/>
      <c r="M1076" s="283"/>
      <c r="N1076" s="283"/>
      <c r="O1076" s="283"/>
      <c r="P1076" s="525"/>
      <c r="Q1076" s="21"/>
      <c r="R1076" s="1015">
        <v>200</v>
      </c>
      <c r="S1076" s="1015">
        <v>200</v>
      </c>
      <c r="T1076" s="962"/>
      <c r="U1076" s="42"/>
      <c r="V1076" s="288"/>
    </row>
    <row r="1077" spans="2:22">
      <c r="B1077" s="648" t="s">
        <v>3870</v>
      </c>
      <c r="C1077" s="648"/>
      <c r="D1077" s="649"/>
      <c r="E1077" s="444"/>
      <c r="F1077" s="444"/>
      <c r="G1077" s="42"/>
      <c r="H1077" s="42"/>
      <c r="L1077" s="283"/>
      <c r="M1077" s="283"/>
      <c r="N1077" s="283"/>
      <c r="O1077" s="283"/>
      <c r="P1077" s="525"/>
      <c r="Q1077" s="21"/>
      <c r="R1077" s="1015">
        <v>200</v>
      </c>
      <c r="S1077" s="1015">
        <v>200</v>
      </c>
      <c r="T1077" s="962"/>
      <c r="U1077" s="42"/>
      <c r="V1077" s="288"/>
    </row>
    <row r="1078" spans="2:22">
      <c r="B1078" s="648" t="s">
        <v>3871</v>
      </c>
      <c r="C1078" s="648"/>
      <c r="D1078" s="649"/>
      <c r="E1078" s="444"/>
      <c r="F1078" s="444"/>
      <c r="G1078" s="42"/>
      <c r="H1078" s="42"/>
      <c r="L1078" s="283"/>
      <c r="M1078" s="283"/>
      <c r="N1078" s="283"/>
      <c r="O1078" s="283"/>
      <c r="P1078" s="525"/>
      <c r="Q1078" s="21"/>
      <c r="R1078" s="1015">
        <v>200</v>
      </c>
      <c r="S1078" s="1015">
        <v>200</v>
      </c>
      <c r="T1078" s="962"/>
      <c r="U1078" s="42"/>
      <c r="V1078" s="288"/>
    </row>
    <row r="1079" spans="2:22">
      <c r="B1079" s="648" t="s">
        <v>3872</v>
      </c>
      <c r="C1079" s="648"/>
      <c r="D1079" s="649"/>
      <c r="E1079" s="444"/>
      <c r="F1079" s="444"/>
      <c r="G1079" s="42"/>
      <c r="H1079" s="42"/>
      <c r="L1079" s="283"/>
      <c r="M1079" s="283"/>
      <c r="N1079" s="283"/>
      <c r="O1079" s="283"/>
      <c r="P1079" s="525"/>
      <c r="Q1079" s="21"/>
      <c r="R1079" s="1015">
        <v>200</v>
      </c>
      <c r="S1079" s="1015">
        <v>200</v>
      </c>
      <c r="T1079" s="962"/>
      <c r="U1079" s="42"/>
      <c r="V1079" s="288"/>
    </row>
    <row r="1080" spans="2:22">
      <c r="B1080" s="648" t="s">
        <v>3873</v>
      </c>
      <c r="C1080" s="648"/>
      <c r="D1080" s="649"/>
      <c r="E1080" s="444"/>
      <c r="F1080" s="444"/>
      <c r="G1080" s="42"/>
      <c r="H1080" s="42"/>
      <c r="L1080" s="283"/>
      <c r="M1080" s="283"/>
      <c r="N1080" s="283"/>
      <c r="O1080" s="283"/>
      <c r="P1080" s="525"/>
      <c r="Q1080" s="21"/>
      <c r="R1080" s="1015">
        <v>200</v>
      </c>
      <c r="S1080" s="1015">
        <v>200</v>
      </c>
      <c r="T1080" s="962"/>
      <c r="U1080" s="42"/>
      <c r="V1080" s="288"/>
    </row>
    <row r="1081" spans="2:22">
      <c r="B1081" s="648" t="s">
        <v>3874</v>
      </c>
      <c r="C1081" s="648"/>
      <c r="D1081" s="649"/>
      <c r="E1081" s="444"/>
      <c r="F1081" s="444"/>
      <c r="G1081" s="42"/>
      <c r="H1081" s="42"/>
      <c r="L1081" s="283"/>
      <c r="M1081" s="283"/>
      <c r="N1081" s="283"/>
      <c r="O1081" s="283"/>
      <c r="P1081" s="525"/>
      <c r="Q1081" s="21"/>
      <c r="R1081" s="1015">
        <v>300</v>
      </c>
      <c r="S1081" s="1015">
        <v>300</v>
      </c>
      <c r="T1081" s="962"/>
      <c r="U1081" s="42"/>
      <c r="V1081" s="288"/>
    </row>
    <row r="1082" spans="2:22" ht="30">
      <c r="B1082" s="646" t="s">
        <v>349</v>
      </c>
      <c r="C1082" s="646"/>
      <c r="D1082" s="647" t="s">
        <v>3876</v>
      </c>
      <c r="E1082" s="527">
        <v>41249</v>
      </c>
      <c r="F1082" s="527"/>
      <c r="G1082" s="525" t="s">
        <v>3875</v>
      </c>
      <c r="H1082" s="525"/>
      <c r="I1082" s="31"/>
      <c r="J1082" s="1233"/>
      <c r="K1082" s="31"/>
      <c r="L1082" s="21">
        <v>10000</v>
      </c>
      <c r="M1082" s="21"/>
      <c r="N1082" s="21">
        <f t="shared" si="236"/>
        <v>10000</v>
      </c>
      <c r="O1082" s="283"/>
      <c r="P1082" s="647" t="s">
        <v>110</v>
      </c>
      <c r="Q1082" s="1136" t="s">
        <v>105</v>
      </c>
      <c r="R1082" s="963">
        <v>10000</v>
      </c>
      <c r="S1082" s="963">
        <v>10000</v>
      </c>
      <c r="T1082" s="961" t="s">
        <v>6008</v>
      </c>
      <c r="U1082" s="525"/>
      <c r="V1082" s="523" t="s">
        <v>307</v>
      </c>
    </row>
    <row r="1083" spans="2:22" ht="30">
      <c r="B1083" s="536" t="s">
        <v>319</v>
      </c>
      <c r="C1083" s="536"/>
      <c r="D1083" s="647" t="s">
        <v>3878</v>
      </c>
      <c r="E1083" s="651">
        <v>41250</v>
      </c>
      <c r="F1083" s="651"/>
      <c r="G1083" s="525" t="s">
        <v>3877</v>
      </c>
      <c r="H1083" s="525"/>
      <c r="I1083" s="31"/>
      <c r="J1083" s="1233"/>
      <c r="K1083" s="31"/>
      <c r="L1083" s="21">
        <v>1000</v>
      </c>
      <c r="M1083" s="21"/>
      <c r="N1083" s="21">
        <f t="shared" si="236"/>
        <v>1000</v>
      </c>
      <c r="O1083" s="283"/>
      <c r="P1083" s="647" t="s">
        <v>110</v>
      </c>
      <c r="Q1083" s="1136" t="s">
        <v>105</v>
      </c>
      <c r="R1083" s="963">
        <v>1000</v>
      </c>
      <c r="S1083" s="963">
        <v>1000</v>
      </c>
      <c r="T1083" s="961"/>
      <c r="U1083" s="525"/>
      <c r="V1083" s="523" t="s">
        <v>307</v>
      </c>
    </row>
    <row r="1084" spans="2:22" ht="30">
      <c r="B1084" s="536" t="s">
        <v>314</v>
      </c>
      <c r="C1084" s="536"/>
      <c r="D1084" s="647" t="s">
        <v>3879</v>
      </c>
      <c r="E1084" s="651">
        <v>41250</v>
      </c>
      <c r="F1084" s="651"/>
      <c r="G1084" s="525" t="s">
        <v>1749</v>
      </c>
      <c r="H1084" s="525"/>
      <c r="I1084" s="31"/>
      <c r="J1084" s="1233"/>
      <c r="K1084" s="31"/>
      <c r="L1084" s="21">
        <v>1000</v>
      </c>
      <c r="M1084" s="21"/>
      <c r="N1084" s="21">
        <f t="shared" si="236"/>
        <v>1000</v>
      </c>
      <c r="O1084" s="283"/>
      <c r="P1084" s="647" t="s">
        <v>110</v>
      </c>
      <c r="Q1084" s="1136" t="s">
        <v>105</v>
      </c>
      <c r="R1084" s="963">
        <v>1000</v>
      </c>
      <c r="S1084" s="963">
        <v>1000</v>
      </c>
      <c r="T1084" s="961"/>
      <c r="U1084" s="525"/>
      <c r="V1084" s="523" t="s">
        <v>307</v>
      </c>
    </row>
    <row r="1085" spans="2:22" ht="30">
      <c r="B1085" s="646" t="s">
        <v>317</v>
      </c>
      <c r="C1085" s="646"/>
      <c r="D1085" s="647" t="s">
        <v>3880</v>
      </c>
      <c r="E1085" s="651">
        <v>41250</v>
      </c>
      <c r="F1085" s="651"/>
      <c r="G1085" s="525" t="s">
        <v>1613</v>
      </c>
      <c r="H1085" s="525"/>
      <c r="I1085" s="31"/>
      <c r="J1085" s="1233"/>
      <c r="K1085" s="31"/>
      <c r="L1085" s="21">
        <v>2250</v>
      </c>
      <c r="M1085" s="21"/>
      <c r="N1085" s="21">
        <f t="shared" si="236"/>
        <v>2250</v>
      </c>
      <c r="O1085" s="283"/>
      <c r="P1085" s="647" t="s">
        <v>110</v>
      </c>
      <c r="Q1085" s="1136" t="s">
        <v>105</v>
      </c>
      <c r="R1085" s="963">
        <v>2250</v>
      </c>
      <c r="S1085" s="963">
        <v>2250</v>
      </c>
      <c r="T1085" s="961"/>
      <c r="U1085" s="525"/>
      <c r="V1085" s="523" t="s">
        <v>307</v>
      </c>
    </row>
    <row r="1086" spans="2:22" ht="90">
      <c r="B1086" s="646" t="s">
        <v>308</v>
      </c>
      <c r="C1086" s="646"/>
      <c r="D1086" s="647" t="s">
        <v>3882</v>
      </c>
      <c r="E1086" s="651">
        <v>41250</v>
      </c>
      <c r="F1086" s="651"/>
      <c r="G1086" s="525" t="s">
        <v>3881</v>
      </c>
      <c r="H1086" s="525"/>
      <c r="I1086" s="31"/>
      <c r="J1086" s="1233"/>
      <c r="K1086" s="31"/>
      <c r="L1086" s="21">
        <v>1000</v>
      </c>
      <c r="M1086" s="21"/>
      <c r="N1086" s="21">
        <f t="shared" si="236"/>
        <v>1000</v>
      </c>
      <c r="O1086" s="283"/>
      <c r="P1086" s="647" t="s">
        <v>110</v>
      </c>
      <c r="Q1086" s="1136" t="s">
        <v>105</v>
      </c>
      <c r="R1086" s="963">
        <v>1000</v>
      </c>
      <c r="S1086" s="963">
        <v>1000</v>
      </c>
      <c r="T1086" s="961" t="s">
        <v>4646</v>
      </c>
      <c r="U1086" s="525"/>
      <c r="V1086" s="523" t="s">
        <v>307</v>
      </c>
    </row>
    <row r="1087" spans="2:22" ht="30">
      <c r="B1087" s="646" t="s">
        <v>314</v>
      </c>
      <c r="C1087" s="646"/>
      <c r="D1087" s="647" t="s">
        <v>3883</v>
      </c>
      <c r="E1087" s="651">
        <v>41250</v>
      </c>
      <c r="F1087" s="651"/>
      <c r="G1087" s="525" t="s">
        <v>1991</v>
      </c>
      <c r="H1087" s="525"/>
      <c r="I1087" s="31"/>
      <c r="J1087" s="1233"/>
      <c r="K1087" s="31"/>
      <c r="L1087" s="21">
        <v>18000</v>
      </c>
      <c r="M1087" s="21"/>
      <c r="N1087" s="21">
        <f t="shared" si="236"/>
        <v>18000</v>
      </c>
      <c r="O1087" s="283"/>
      <c r="P1087" s="647" t="s">
        <v>110</v>
      </c>
      <c r="Q1087" s="1136" t="s">
        <v>105</v>
      </c>
      <c r="R1087" s="963">
        <v>18000</v>
      </c>
      <c r="S1087" s="963">
        <v>18000</v>
      </c>
      <c r="T1087" s="961"/>
      <c r="U1087" s="525"/>
      <c r="V1087" s="523" t="s">
        <v>307</v>
      </c>
    </row>
    <row r="1088" spans="2:22" ht="30">
      <c r="B1088" s="646" t="s">
        <v>380</v>
      </c>
      <c r="C1088" s="646"/>
      <c r="D1088" s="647" t="s">
        <v>3885</v>
      </c>
      <c r="E1088" s="527">
        <v>41254</v>
      </c>
      <c r="F1088" s="527"/>
      <c r="G1088" s="526" t="s">
        <v>3884</v>
      </c>
      <c r="H1088" s="525"/>
      <c r="I1088" s="31"/>
      <c r="J1088" s="1233"/>
      <c r="K1088" s="31"/>
      <c r="L1088" s="21">
        <v>-5000</v>
      </c>
      <c r="M1088" s="21"/>
      <c r="N1088" s="21">
        <f t="shared" si="236"/>
        <v>-5000</v>
      </c>
      <c r="O1088" s="283"/>
      <c r="P1088" s="647" t="s">
        <v>110</v>
      </c>
      <c r="Q1088" s="1136" t="s">
        <v>105</v>
      </c>
      <c r="R1088" s="963">
        <v>-5000</v>
      </c>
      <c r="S1088" s="963">
        <v>-5000</v>
      </c>
      <c r="T1088" s="961"/>
      <c r="U1088" s="525"/>
      <c r="V1088" s="523" t="s">
        <v>307</v>
      </c>
    </row>
    <row r="1089" spans="2:22" ht="30">
      <c r="B1089" s="646" t="s">
        <v>311</v>
      </c>
      <c r="C1089" s="646"/>
      <c r="D1089" s="647" t="s">
        <v>3886</v>
      </c>
      <c r="E1089" s="527">
        <v>41254</v>
      </c>
      <c r="F1089" s="527"/>
      <c r="G1089" s="525" t="s">
        <v>386</v>
      </c>
      <c r="H1089" s="525"/>
      <c r="I1089" s="31"/>
      <c r="J1089" s="1233"/>
      <c r="K1089" s="31"/>
      <c r="L1089" s="21">
        <v>5000</v>
      </c>
      <c r="M1089" s="21"/>
      <c r="N1089" s="21">
        <f t="shared" si="236"/>
        <v>5000</v>
      </c>
      <c r="O1089" s="283"/>
      <c r="P1089" s="647" t="s">
        <v>110</v>
      </c>
      <c r="Q1089" s="1136" t="s">
        <v>105</v>
      </c>
      <c r="R1089" s="963">
        <v>5000</v>
      </c>
      <c r="S1089" s="963">
        <v>5000</v>
      </c>
      <c r="T1089" s="961"/>
      <c r="U1089" s="525"/>
      <c r="V1089" s="523" t="s">
        <v>307</v>
      </c>
    </row>
    <row r="1090" spans="2:22" ht="30">
      <c r="B1090" s="646" t="s">
        <v>314</v>
      </c>
      <c r="C1090" s="646"/>
      <c r="D1090" s="647" t="s">
        <v>3887</v>
      </c>
      <c r="E1090" s="527">
        <v>41255</v>
      </c>
      <c r="F1090" s="527"/>
      <c r="G1090" s="525" t="s">
        <v>2347</v>
      </c>
      <c r="H1090" s="525"/>
      <c r="I1090" s="31"/>
      <c r="J1090" s="1233"/>
      <c r="K1090" s="31"/>
      <c r="L1090" s="21">
        <v>7300</v>
      </c>
      <c r="M1090" s="21"/>
      <c r="N1090" s="21">
        <f t="shared" si="236"/>
        <v>7300</v>
      </c>
      <c r="O1090" s="283"/>
      <c r="P1090" s="647" t="s">
        <v>110</v>
      </c>
      <c r="Q1090" s="1136" t="s">
        <v>105</v>
      </c>
      <c r="R1090" s="963">
        <v>7300</v>
      </c>
      <c r="S1090" s="963">
        <v>7300</v>
      </c>
      <c r="T1090" s="961"/>
      <c r="U1090" s="525"/>
      <c r="V1090" s="523" t="s">
        <v>307</v>
      </c>
    </row>
    <row r="1091" spans="2:22" ht="30">
      <c r="B1091" s="646" t="s">
        <v>331</v>
      </c>
      <c r="C1091" s="646"/>
      <c r="D1091" s="647" t="s">
        <v>3888</v>
      </c>
      <c r="E1091" s="527">
        <v>41255</v>
      </c>
      <c r="F1091" s="527"/>
      <c r="G1091" s="525" t="s">
        <v>384</v>
      </c>
      <c r="H1091" s="525"/>
      <c r="I1091" s="31"/>
      <c r="J1091" s="1233"/>
      <c r="K1091" s="31"/>
      <c r="L1091" s="21">
        <v>7500</v>
      </c>
      <c r="M1091" s="21"/>
      <c r="N1091" s="21">
        <f t="shared" si="236"/>
        <v>7500</v>
      </c>
      <c r="O1091" s="283"/>
      <c r="P1091" s="647" t="s">
        <v>110</v>
      </c>
      <c r="Q1091" s="1136" t="s">
        <v>105</v>
      </c>
      <c r="R1091" s="963">
        <v>7500</v>
      </c>
      <c r="S1091" s="963">
        <v>7500</v>
      </c>
      <c r="T1091" s="961"/>
      <c r="U1091" s="525"/>
      <c r="V1091" s="523" t="s">
        <v>307</v>
      </c>
    </row>
    <row r="1092" spans="2:22" ht="30">
      <c r="B1092" s="646" t="s">
        <v>321</v>
      </c>
      <c r="C1092" s="646"/>
      <c r="D1092" s="647" t="s">
        <v>3889</v>
      </c>
      <c r="E1092" s="527">
        <v>41256</v>
      </c>
      <c r="F1092" s="527"/>
      <c r="G1092" s="525" t="s">
        <v>315</v>
      </c>
      <c r="H1092" s="525"/>
      <c r="I1092" s="31"/>
      <c r="J1092" s="1233"/>
      <c r="K1092" s="31"/>
      <c r="L1092" s="21">
        <v>16000</v>
      </c>
      <c r="M1092" s="21"/>
      <c r="N1092" s="21">
        <f t="shared" si="236"/>
        <v>16000</v>
      </c>
      <c r="O1092" s="283"/>
      <c r="P1092" s="647" t="s">
        <v>110</v>
      </c>
      <c r="Q1092" s="1136" t="s">
        <v>105</v>
      </c>
      <c r="R1092" s="963">
        <v>16000</v>
      </c>
      <c r="S1092" s="963">
        <v>16000</v>
      </c>
      <c r="T1092" s="961"/>
      <c r="U1092" s="525"/>
      <c r="V1092" s="523" t="s">
        <v>307</v>
      </c>
    </row>
    <row r="1093" spans="2:22">
      <c r="B1093" s="1087" t="s">
        <v>6453</v>
      </c>
      <c r="C1093" s="646"/>
      <c r="D1093" s="647"/>
      <c r="E1093" s="527"/>
      <c r="F1093" s="527"/>
      <c r="G1093" s="525"/>
      <c r="H1093" s="525"/>
      <c r="I1093" s="31"/>
      <c r="J1093" s="1233"/>
      <c r="K1093" s="31"/>
      <c r="L1093" s="21"/>
      <c r="M1093" s="21"/>
      <c r="N1093" s="21"/>
      <c r="O1093" s="283"/>
      <c r="P1093" s="647"/>
      <c r="Q1093" s="1136"/>
      <c r="R1093" s="963"/>
      <c r="S1093" s="963"/>
      <c r="T1093" s="1089" t="s">
        <v>6461</v>
      </c>
      <c r="U1093" s="525"/>
      <c r="V1093" s="523"/>
    </row>
    <row r="1094" spans="2:22">
      <c r="B1094" s="1087" t="s">
        <v>6454</v>
      </c>
      <c r="C1094" s="646"/>
      <c r="D1094" s="647"/>
      <c r="E1094" s="527"/>
      <c r="F1094" s="527"/>
      <c r="G1094" s="525"/>
      <c r="H1094" s="525"/>
      <c r="I1094" s="31"/>
      <c r="J1094" s="1233"/>
      <c r="K1094" s="31"/>
      <c r="L1094" s="21"/>
      <c r="M1094" s="21"/>
      <c r="N1094" s="21"/>
      <c r="O1094" s="283"/>
      <c r="P1094" s="647"/>
      <c r="Q1094" s="1136"/>
      <c r="R1094" s="963"/>
      <c r="S1094" s="963"/>
      <c r="T1094" s="525" t="s">
        <v>6462</v>
      </c>
      <c r="U1094" s="525"/>
      <c r="V1094" s="523"/>
    </row>
    <row r="1095" spans="2:22">
      <c r="B1095" s="1087" t="s">
        <v>6455</v>
      </c>
      <c r="C1095" s="646"/>
      <c r="D1095" s="647"/>
      <c r="E1095" s="527"/>
      <c r="F1095" s="527"/>
      <c r="G1095" s="525"/>
      <c r="H1095" s="525"/>
      <c r="I1095" s="31"/>
      <c r="J1095" s="1233"/>
      <c r="K1095" s="31"/>
      <c r="L1095" s="21"/>
      <c r="M1095" s="21"/>
      <c r="N1095" s="21"/>
      <c r="O1095" s="283"/>
      <c r="P1095" s="647"/>
      <c r="Q1095" s="1136"/>
      <c r="R1095" s="963"/>
      <c r="S1095" s="963"/>
      <c r="T1095" s="525"/>
      <c r="U1095" s="525"/>
      <c r="V1095" s="523"/>
    </row>
    <row r="1096" spans="2:22">
      <c r="B1096" s="1087" t="s">
        <v>6456</v>
      </c>
      <c r="C1096" s="646"/>
      <c r="D1096" s="647"/>
      <c r="E1096" s="527"/>
      <c r="F1096" s="527"/>
      <c r="G1096" s="525"/>
      <c r="H1096" s="525"/>
      <c r="I1096" s="31"/>
      <c r="J1096" s="1233"/>
      <c r="K1096" s="31"/>
      <c r="L1096" s="21"/>
      <c r="M1096" s="21"/>
      <c r="N1096" s="21"/>
      <c r="O1096" s="283"/>
      <c r="P1096" s="647"/>
      <c r="Q1096" s="1136"/>
      <c r="R1096" s="963"/>
      <c r="S1096" s="963"/>
      <c r="T1096" s="525"/>
      <c r="U1096" s="525"/>
      <c r="V1096" s="523"/>
    </row>
    <row r="1097" spans="2:22">
      <c r="B1097" s="1087" t="s">
        <v>6457</v>
      </c>
      <c r="C1097" s="646"/>
      <c r="D1097" s="647"/>
      <c r="E1097" s="527"/>
      <c r="F1097" s="527"/>
      <c r="G1097" s="525"/>
      <c r="H1097" s="525"/>
      <c r="I1097" s="31"/>
      <c r="J1097" s="1233"/>
      <c r="K1097" s="31"/>
      <c r="L1097" s="21"/>
      <c r="M1097" s="21"/>
      <c r="N1097" s="21"/>
      <c r="O1097" s="283"/>
      <c r="P1097" s="647"/>
      <c r="Q1097" s="1136"/>
      <c r="R1097" s="963"/>
      <c r="S1097" s="963"/>
      <c r="T1097" s="525"/>
      <c r="U1097" s="525"/>
      <c r="V1097" s="523"/>
    </row>
    <row r="1098" spans="2:22">
      <c r="B1098" s="1087" t="s">
        <v>6458</v>
      </c>
      <c r="C1098" s="646"/>
      <c r="D1098" s="647"/>
      <c r="E1098" s="527"/>
      <c r="F1098" s="527"/>
      <c r="G1098" s="525"/>
      <c r="H1098" s="525"/>
      <c r="I1098" s="31"/>
      <c r="J1098" s="1233"/>
      <c r="K1098" s="31"/>
      <c r="L1098" s="21"/>
      <c r="M1098" s="21"/>
      <c r="N1098" s="21"/>
      <c r="O1098" s="283"/>
      <c r="P1098" s="647"/>
      <c r="Q1098" s="1136"/>
      <c r="R1098" s="963"/>
      <c r="S1098" s="963"/>
      <c r="T1098" s="525" t="s">
        <v>6463</v>
      </c>
      <c r="U1098" s="525"/>
      <c r="V1098" s="523"/>
    </row>
    <row r="1099" spans="2:22">
      <c r="B1099" s="1087" t="s">
        <v>6459</v>
      </c>
      <c r="C1099" s="646"/>
      <c r="D1099" s="647"/>
      <c r="E1099" s="527"/>
      <c r="F1099" s="527"/>
      <c r="G1099" s="525"/>
      <c r="H1099" s="525"/>
      <c r="I1099" s="31"/>
      <c r="J1099" s="1233"/>
      <c r="K1099" s="31"/>
      <c r="L1099" s="21"/>
      <c r="M1099" s="21"/>
      <c r="N1099" s="21"/>
      <c r="O1099" s="283"/>
      <c r="P1099" s="647"/>
      <c r="Q1099" s="1136"/>
      <c r="R1099" s="963"/>
      <c r="S1099" s="963"/>
      <c r="T1099" s="525"/>
      <c r="U1099" s="525"/>
      <c r="V1099" s="523"/>
    </row>
    <row r="1100" spans="2:22">
      <c r="B1100" s="1087" t="s">
        <v>6460</v>
      </c>
      <c r="C1100" s="646"/>
      <c r="D1100" s="647"/>
      <c r="E1100" s="527"/>
      <c r="F1100" s="527"/>
      <c r="G1100" s="525"/>
      <c r="H1100" s="525"/>
      <c r="I1100" s="31"/>
      <c r="J1100" s="1233"/>
      <c r="K1100" s="31"/>
      <c r="L1100" s="21"/>
      <c r="M1100" s="21"/>
      <c r="N1100" s="21"/>
      <c r="O1100" s="283"/>
      <c r="P1100" s="647"/>
      <c r="Q1100" s="1136"/>
      <c r="R1100" s="963"/>
      <c r="S1100" s="963"/>
      <c r="T1100" s="961"/>
      <c r="U1100" s="525"/>
      <c r="V1100" s="523"/>
    </row>
    <row r="1101" spans="2:22">
      <c r="B1101" s="646"/>
      <c r="C1101" s="646"/>
      <c r="D1101" s="647"/>
      <c r="E1101" s="527"/>
      <c r="F1101" s="527"/>
      <c r="G1101" s="525"/>
      <c r="H1101" s="525"/>
      <c r="I1101" s="31"/>
      <c r="J1101" s="1233"/>
      <c r="K1101" s="31"/>
      <c r="L1101" s="21"/>
      <c r="M1101" s="21"/>
      <c r="N1101" s="21"/>
      <c r="O1101" s="283"/>
      <c r="P1101" s="647"/>
      <c r="Q1101" s="1136"/>
      <c r="R1101" s="963"/>
      <c r="S1101" s="963"/>
      <c r="T1101" s="961"/>
      <c r="U1101" s="525"/>
      <c r="V1101" s="523"/>
    </row>
    <row r="1102" spans="2:22" ht="30">
      <c r="B1102" s="646" t="s">
        <v>311</v>
      </c>
      <c r="C1102" s="646"/>
      <c r="D1102" s="647" t="s">
        <v>3891</v>
      </c>
      <c r="E1102" s="651">
        <v>41256</v>
      </c>
      <c r="F1102" s="651"/>
      <c r="G1102" s="525" t="s">
        <v>3890</v>
      </c>
      <c r="H1102" s="525"/>
      <c r="I1102" s="31"/>
      <c r="J1102" s="1233"/>
      <c r="K1102" s="31"/>
      <c r="L1102" s="21">
        <v>9810</v>
      </c>
      <c r="M1102" s="21"/>
      <c r="N1102" s="21">
        <f t="shared" si="236"/>
        <v>9810</v>
      </c>
      <c r="O1102" s="283"/>
      <c r="P1102" s="647" t="s">
        <v>110</v>
      </c>
      <c r="Q1102" s="1136" t="s">
        <v>105</v>
      </c>
      <c r="R1102" s="1064">
        <f>SUM(R1103:R1104)</f>
        <v>9810</v>
      </c>
      <c r="S1102" s="1064">
        <f>SUM(S1103:S1104)</f>
        <v>9774</v>
      </c>
      <c r="T1102" s="961"/>
      <c r="U1102" s="525"/>
      <c r="V1102" s="523" t="s">
        <v>307</v>
      </c>
    </row>
    <row r="1103" spans="2:22">
      <c r="B1103" s="646"/>
      <c r="C1103" s="646"/>
      <c r="D1103" s="647"/>
      <c r="E1103" s="651"/>
      <c r="F1103" s="651"/>
      <c r="G1103" s="525"/>
      <c r="H1103" s="525"/>
      <c r="I1103" s="31"/>
      <c r="J1103" s="1233"/>
      <c r="K1103" s="31"/>
      <c r="L1103" s="795"/>
      <c r="M1103" s="21"/>
      <c r="N1103" s="21">
        <f>SUM(L1103:M1103)</f>
        <v>0</v>
      </c>
      <c r="O1103" s="283"/>
      <c r="P1103" s="647"/>
      <c r="Q1103" s="1136"/>
      <c r="R1103" s="35">
        <v>1962</v>
      </c>
      <c r="S1103" s="35">
        <v>1962</v>
      </c>
      <c r="T1103" s="961" t="s">
        <v>5475</v>
      </c>
      <c r="U1103" s="525"/>
      <c r="V1103" s="523"/>
    </row>
    <row r="1104" spans="2:22">
      <c r="B1104" s="646"/>
      <c r="C1104" s="646"/>
      <c r="D1104" s="647"/>
      <c r="E1104" s="651"/>
      <c r="F1104" s="651"/>
      <c r="G1104" s="525"/>
      <c r="H1104" s="525"/>
      <c r="I1104" s="31"/>
      <c r="J1104" s="1233"/>
      <c r="K1104" s="31"/>
      <c r="L1104" s="795"/>
      <c r="M1104" s="21"/>
      <c r="N1104" s="21">
        <f>SUM(L1104:M1104)</f>
        <v>0</v>
      </c>
      <c r="O1104" s="283"/>
      <c r="P1104" s="647"/>
      <c r="Q1104" s="1136"/>
      <c r="R1104" s="35">
        <v>7848</v>
      </c>
      <c r="S1104" s="35">
        <v>7812</v>
      </c>
      <c r="T1104" s="961" t="s">
        <v>5475</v>
      </c>
      <c r="U1104" s="525"/>
      <c r="V1104" s="523"/>
    </row>
    <row r="1105" spans="2:22" ht="30">
      <c r="B1105" s="646" t="s">
        <v>331</v>
      </c>
      <c r="C1105" s="646"/>
      <c r="D1105" s="647" t="s">
        <v>3892</v>
      </c>
      <c r="E1105" s="527">
        <v>41257</v>
      </c>
      <c r="F1105" s="527"/>
      <c r="G1105" s="525" t="s">
        <v>364</v>
      </c>
      <c r="H1105" s="525"/>
      <c r="I1105" s="31"/>
      <c r="J1105" s="1233"/>
      <c r="K1105" s="31"/>
      <c r="L1105" s="21">
        <v>11000</v>
      </c>
      <c r="M1105" s="21"/>
      <c r="N1105" s="21">
        <f t="shared" si="236"/>
        <v>11000</v>
      </c>
      <c r="O1105" s="283"/>
      <c r="P1105" s="647" t="s">
        <v>110</v>
      </c>
      <c r="Q1105" s="1136" t="s">
        <v>105</v>
      </c>
      <c r="R1105" s="963">
        <v>11000</v>
      </c>
      <c r="S1105" s="963">
        <v>11000</v>
      </c>
      <c r="T1105" s="961"/>
      <c r="U1105" s="525"/>
      <c r="V1105" s="523" t="s">
        <v>307</v>
      </c>
    </row>
    <row r="1106" spans="2:22" ht="30">
      <c r="B1106" s="646" t="s">
        <v>380</v>
      </c>
      <c r="C1106" s="646"/>
      <c r="D1106" s="647" t="s">
        <v>3893</v>
      </c>
      <c r="E1106" s="527">
        <v>41260</v>
      </c>
      <c r="F1106" s="527"/>
      <c r="G1106" s="525" t="s">
        <v>315</v>
      </c>
      <c r="H1106" s="525"/>
      <c r="I1106" s="31"/>
      <c r="J1106" s="1233"/>
      <c r="K1106" s="31"/>
      <c r="L1106" s="21">
        <v>3910</v>
      </c>
      <c r="M1106" s="21"/>
      <c r="N1106" s="21">
        <f t="shared" si="236"/>
        <v>3910</v>
      </c>
      <c r="O1106" s="283"/>
      <c r="P1106" s="647" t="s">
        <v>110</v>
      </c>
      <c r="Q1106" s="1136" t="s">
        <v>105</v>
      </c>
      <c r="R1106" s="70"/>
      <c r="S1106" s="70"/>
      <c r="T1106" s="961"/>
      <c r="U1106" s="525"/>
      <c r="V1106" s="523" t="s">
        <v>307</v>
      </c>
    </row>
    <row r="1107" spans="2:22">
      <c r="B1107" s="648" t="s">
        <v>3894</v>
      </c>
      <c r="C1107" s="648"/>
      <c r="D1107" s="649"/>
      <c r="E1107" s="444"/>
      <c r="F1107" s="444"/>
      <c r="G1107" s="42"/>
      <c r="H1107" s="42"/>
      <c r="L1107" s="283"/>
      <c r="M1107" s="283"/>
      <c r="N1107" s="283"/>
      <c r="O1107" s="283"/>
      <c r="P1107" s="525"/>
      <c r="Q1107" s="21"/>
      <c r="R1107" s="1015">
        <v>100</v>
      </c>
      <c r="S1107" s="1015">
        <v>100</v>
      </c>
      <c r="T1107" s="962"/>
      <c r="U1107" s="42"/>
      <c r="V1107" s="288"/>
    </row>
    <row r="1108" spans="2:22">
      <c r="B1108" s="648" t="s">
        <v>3895</v>
      </c>
      <c r="C1108" s="648"/>
      <c r="D1108" s="649"/>
      <c r="E1108" s="444"/>
      <c r="F1108" s="444"/>
      <c r="G1108" s="42"/>
      <c r="H1108" s="42"/>
      <c r="L1108" s="283"/>
      <c r="M1108" s="283"/>
      <c r="N1108" s="283"/>
      <c r="O1108" s="283"/>
      <c r="P1108" s="525"/>
      <c r="Q1108" s="21"/>
      <c r="R1108" s="1015">
        <v>100</v>
      </c>
      <c r="S1108" s="1015">
        <v>100</v>
      </c>
      <c r="T1108" s="962"/>
      <c r="U1108" s="42"/>
      <c r="V1108" s="288"/>
    </row>
    <row r="1109" spans="2:22">
      <c r="B1109" s="648" t="s">
        <v>3896</v>
      </c>
      <c r="C1109" s="648"/>
      <c r="D1109" s="649"/>
      <c r="E1109" s="444"/>
      <c r="F1109" s="444"/>
      <c r="G1109" s="42"/>
      <c r="H1109" s="42"/>
      <c r="L1109" s="283"/>
      <c r="M1109" s="283"/>
      <c r="N1109" s="283"/>
      <c r="O1109" s="283"/>
      <c r="P1109" s="525"/>
      <c r="Q1109" s="21"/>
      <c r="R1109" s="1015">
        <v>100</v>
      </c>
      <c r="S1109" s="1015">
        <v>100</v>
      </c>
      <c r="T1109" s="962"/>
      <c r="U1109" s="42"/>
      <c r="V1109" s="288"/>
    </row>
    <row r="1110" spans="2:22">
      <c r="B1110" s="648" t="s">
        <v>3897</v>
      </c>
      <c r="C1110" s="648"/>
      <c r="D1110" s="649"/>
      <c r="E1110" s="444"/>
      <c r="F1110" s="444"/>
      <c r="G1110" s="42"/>
      <c r="H1110" s="42"/>
      <c r="L1110" s="283"/>
      <c r="M1110" s="283"/>
      <c r="N1110" s="283"/>
      <c r="O1110" s="283"/>
      <c r="P1110" s="525"/>
      <c r="Q1110" s="21"/>
      <c r="R1110" s="1015">
        <v>100</v>
      </c>
      <c r="S1110" s="1015">
        <v>100</v>
      </c>
      <c r="T1110" s="962"/>
      <c r="U1110" s="42"/>
      <c r="V1110" s="288"/>
    </row>
    <row r="1111" spans="2:22">
      <c r="B1111" s="648" t="s">
        <v>3898</v>
      </c>
      <c r="C1111" s="648"/>
      <c r="D1111" s="649"/>
      <c r="E1111" s="444"/>
      <c r="F1111" s="444"/>
      <c r="G1111" s="42"/>
      <c r="H1111" s="42"/>
      <c r="L1111" s="283"/>
      <c r="M1111" s="283"/>
      <c r="N1111" s="283"/>
      <c r="O1111" s="283"/>
      <c r="P1111" s="525"/>
      <c r="Q1111" s="21"/>
      <c r="R1111" s="1015">
        <v>3510</v>
      </c>
      <c r="S1111" s="1015">
        <v>3510</v>
      </c>
      <c r="T1111" s="962"/>
      <c r="U1111" s="42"/>
      <c r="V1111" s="288"/>
    </row>
    <row r="1112" spans="2:22" ht="30">
      <c r="B1112" s="646" t="s">
        <v>343</v>
      </c>
      <c r="C1112" s="646"/>
      <c r="D1112" s="647" t="s">
        <v>3900</v>
      </c>
      <c r="E1112" s="527">
        <v>41260</v>
      </c>
      <c r="F1112" s="527"/>
      <c r="G1112" s="525" t="s">
        <v>3899</v>
      </c>
      <c r="H1112" s="525"/>
      <c r="I1112" s="31"/>
      <c r="J1112" s="1233"/>
      <c r="K1112" s="31"/>
      <c r="L1112" s="21">
        <v>5250</v>
      </c>
      <c r="M1112" s="21"/>
      <c r="N1112" s="21">
        <f t="shared" si="236"/>
        <v>5250</v>
      </c>
      <c r="O1112" s="283"/>
      <c r="P1112" s="647" t="s">
        <v>110</v>
      </c>
      <c r="Q1112" s="1136" t="s">
        <v>105</v>
      </c>
      <c r="R1112" s="963">
        <v>5250</v>
      </c>
      <c r="S1112" s="963">
        <v>5250</v>
      </c>
      <c r="T1112" s="961"/>
      <c r="U1112" s="525"/>
      <c r="V1112" s="523" t="s">
        <v>307</v>
      </c>
    </row>
    <row r="1113" spans="2:22" ht="30">
      <c r="B1113" s="646" t="s">
        <v>314</v>
      </c>
      <c r="C1113" s="646"/>
      <c r="D1113" s="647" t="s">
        <v>3902</v>
      </c>
      <c r="E1113" s="527">
        <v>41260</v>
      </c>
      <c r="F1113" s="527"/>
      <c r="G1113" s="525" t="s">
        <v>3901</v>
      </c>
      <c r="H1113" s="525"/>
      <c r="I1113" s="31"/>
      <c r="J1113" s="1233"/>
      <c r="K1113" s="31"/>
      <c r="L1113" s="21">
        <v>1000</v>
      </c>
      <c r="M1113" s="21"/>
      <c r="N1113" s="21">
        <f t="shared" si="236"/>
        <v>1000</v>
      </c>
      <c r="O1113" s="283"/>
      <c r="P1113" s="647" t="s">
        <v>110</v>
      </c>
      <c r="Q1113" s="1136" t="s">
        <v>105</v>
      </c>
      <c r="R1113" s="963">
        <v>1000</v>
      </c>
      <c r="S1113" s="963">
        <v>1000</v>
      </c>
      <c r="T1113" s="961"/>
      <c r="U1113" s="525"/>
      <c r="V1113" s="523" t="s">
        <v>307</v>
      </c>
    </row>
    <row r="1114" spans="2:22" ht="30">
      <c r="B1114" s="646" t="s">
        <v>343</v>
      </c>
      <c r="C1114" s="646"/>
      <c r="D1114" s="647" t="s">
        <v>3904</v>
      </c>
      <c r="E1114" s="651">
        <v>41261</v>
      </c>
      <c r="F1114" s="651"/>
      <c r="G1114" s="525" t="s">
        <v>3903</v>
      </c>
      <c r="H1114" s="525"/>
      <c r="I1114" s="31"/>
      <c r="J1114" s="1233"/>
      <c r="K1114" s="31"/>
      <c r="L1114" s="21">
        <v>4500</v>
      </c>
      <c r="M1114" s="21"/>
      <c r="N1114" s="21">
        <f t="shared" si="236"/>
        <v>4500</v>
      </c>
      <c r="O1114" s="283"/>
      <c r="P1114" s="647" t="s">
        <v>110</v>
      </c>
      <c r="Q1114" s="1136" t="s">
        <v>105</v>
      </c>
      <c r="R1114" s="70"/>
      <c r="S1114" s="70"/>
      <c r="T1114" s="961"/>
      <c r="U1114" s="525"/>
      <c r="V1114" s="523" t="s">
        <v>307</v>
      </c>
    </row>
    <row r="1115" spans="2:22">
      <c r="B1115" s="648" t="s">
        <v>3905</v>
      </c>
      <c r="C1115" s="648"/>
      <c r="D1115" s="649"/>
      <c r="E1115" s="531"/>
      <c r="F1115" s="531"/>
      <c r="G1115" s="42"/>
      <c r="H1115" s="42"/>
      <c r="L1115" s="283"/>
      <c r="M1115" s="283"/>
      <c r="N1115" s="283"/>
      <c r="O1115" s="283"/>
      <c r="P1115" s="525"/>
      <c r="Q1115" s="21"/>
      <c r="R1115" s="367">
        <v>1500</v>
      </c>
      <c r="S1115" s="367">
        <v>1500</v>
      </c>
      <c r="T1115" s="962" t="s">
        <v>4781</v>
      </c>
      <c r="U1115" s="42"/>
      <c r="V1115" s="288"/>
    </row>
    <row r="1116" spans="2:22">
      <c r="B1116" s="648" t="s">
        <v>3906</v>
      </c>
      <c r="C1116" s="648"/>
      <c r="D1116" s="649"/>
      <c r="E1116" s="531"/>
      <c r="F1116" s="531"/>
      <c r="G1116" s="42"/>
      <c r="H1116" s="42"/>
      <c r="L1116" s="283"/>
      <c r="M1116" s="283"/>
      <c r="N1116" s="283"/>
      <c r="O1116" s="283"/>
      <c r="P1116" s="525"/>
      <c r="Q1116" s="21"/>
      <c r="R1116" s="367">
        <v>1500</v>
      </c>
      <c r="S1116" s="367">
        <v>1500</v>
      </c>
      <c r="T1116" s="962"/>
      <c r="U1116" s="42"/>
      <c r="V1116" s="288"/>
    </row>
    <row r="1117" spans="2:22">
      <c r="B1117" s="648" t="s">
        <v>3907</v>
      </c>
      <c r="C1117" s="648"/>
      <c r="D1117" s="649"/>
      <c r="E1117" s="531"/>
      <c r="F1117" s="531"/>
      <c r="G1117" s="42"/>
      <c r="H1117" s="42"/>
      <c r="L1117" s="283"/>
      <c r="M1117" s="283"/>
      <c r="N1117" s="283"/>
      <c r="O1117" s="283"/>
      <c r="P1117" s="525"/>
      <c r="Q1117" s="21"/>
      <c r="R1117" s="367">
        <v>1500</v>
      </c>
      <c r="S1117" s="1018">
        <v>1.4990000000000001</v>
      </c>
      <c r="T1117" s="962" t="s">
        <v>4781</v>
      </c>
      <c r="U1117" s="42"/>
      <c r="V1117" s="288"/>
    </row>
    <row r="1118" spans="2:22" ht="30">
      <c r="B1118" s="646" t="s">
        <v>380</v>
      </c>
      <c r="C1118" s="646"/>
      <c r="D1118" s="647" t="s">
        <v>3909</v>
      </c>
      <c r="E1118" s="651">
        <v>41261</v>
      </c>
      <c r="F1118" s="651"/>
      <c r="G1118" s="525" t="s">
        <v>3908</v>
      </c>
      <c r="H1118" s="525"/>
      <c r="I1118" s="31"/>
      <c r="J1118" s="1233"/>
      <c r="K1118" s="31"/>
      <c r="L1118" s="21">
        <v>2000</v>
      </c>
      <c r="M1118" s="21"/>
      <c r="N1118" s="21">
        <f t="shared" si="236"/>
        <v>2000</v>
      </c>
      <c r="O1118" s="283"/>
      <c r="P1118" s="647" t="s">
        <v>110</v>
      </c>
      <c r="Q1118" s="1136" t="s">
        <v>105</v>
      </c>
      <c r="R1118" s="963">
        <v>2000</v>
      </c>
      <c r="S1118" s="963">
        <v>2000</v>
      </c>
      <c r="T1118" s="961">
        <v>1130</v>
      </c>
      <c r="U1118" s="525"/>
      <c r="V1118" s="523" t="s">
        <v>307</v>
      </c>
    </row>
    <row r="1119" spans="2:22" ht="30">
      <c r="B1119" s="646" t="s">
        <v>380</v>
      </c>
      <c r="C1119" s="646"/>
      <c r="D1119" s="647" t="s">
        <v>3911</v>
      </c>
      <c r="E1119" s="651">
        <v>41263</v>
      </c>
      <c r="F1119" s="651"/>
      <c r="G1119" s="525" t="s">
        <v>3910</v>
      </c>
      <c r="H1119" s="525"/>
      <c r="I1119" s="31"/>
      <c r="J1119" s="1233"/>
      <c r="K1119" s="31"/>
      <c r="L1119" s="21">
        <v>6400</v>
      </c>
      <c r="M1119" s="21"/>
      <c r="N1119" s="21">
        <f t="shared" si="236"/>
        <v>6400</v>
      </c>
      <c r="O1119" s="283"/>
      <c r="P1119" s="647" t="s">
        <v>110</v>
      </c>
      <c r="Q1119" s="1136" t="s">
        <v>105</v>
      </c>
      <c r="R1119" s="963">
        <v>6400</v>
      </c>
      <c r="S1119" s="963">
        <v>6400</v>
      </c>
      <c r="T1119" s="961">
        <v>6400</v>
      </c>
      <c r="U1119" s="525"/>
      <c r="V1119" s="523" t="s">
        <v>307</v>
      </c>
    </row>
    <row r="1120" spans="2:22" ht="30">
      <c r="B1120" s="646" t="s">
        <v>337</v>
      </c>
      <c r="C1120" s="646"/>
      <c r="D1120" s="647" t="s">
        <v>3913</v>
      </c>
      <c r="E1120" s="651">
        <v>41263</v>
      </c>
      <c r="F1120" s="651"/>
      <c r="G1120" s="525" t="s">
        <v>3912</v>
      </c>
      <c r="H1120" s="525"/>
      <c r="I1120" s="31"/>
      <c r="J1120" s="1233"/>
      <c r="K1120" s="31"/>
      <c r="L1120" s="21">
        <v>300</v>
      </c>
      <c r="M1120" s="21"/>
      <c r="N1120" s="21">
        <f t="shared" ref="N1120:N1155" si="237">SUM(L1120:M1120)</f>
        <v>300</v>
      </c>
      <c r="O1120" s="283"/>
      <c r="P1120" s="647" t="s">
        <v>110</v>
      </c>
      <c r="Q1120" s="1136" t="s">
        <v>105</v>
      </c>
      <c r="R1120" s="963">
        <v>300</v>
      </c>
      <c r="S1120" s="963">
        <v>300</v>
      </c>
      <c r="T1120" s="961"/>
      <c r="U1120" s="525"/>
      <c r="V1120" s="523" t="s">
        <v>307</v>
      </c>
    </row>
    <row r="1121" spans="2:22" ht="45">
      <c r="B1121" s="646" t="s">
        <v>343</v>
      </c>
      <c r="C1121" s="646"/>
      <c r="D1121" s="647" t="s">
        <v>3915</v>
      </c>
      <c r="E1121" s="651">
        <v>41263</v>
      </c>
      <c r="F1121" s="651"/>
      <c r="G1121" s="525" t="s">
        <v>3914</v>
      </c>
      <c r="H1121" s="525"/>
      <c r="I1121" s="31"/>
      <c r="J1121" s="1233"/>
      <c r="K1121" s="31"/>
      <c r="L1121" s="21">
        <v>200</v>
      </c>
      <c r="M1121" s="21"/>
      <c r="N1121" s="21">
        <f t="shared" si="237"/>
        <v>200</v>
      </c>
      <c r="O1121" s="283"/>
      <c r="P1121" s="647" t="s">
        <v>110</v>
      </c>
      <c r="Q1121" s="1136" t="s">
        <v>105</v>
      </c>
      <c r="R1121" s="35">
        <v>200</v>
      </c>
      <c r="S1121" s="35">
        <v>86</v>
      </c>
      <c r="T1121" s="961" t="s">
        <v>5999</v>
      </c>
      <c r="U1121" s="525"/>
      <c r="V1121" s="523" t="s">
        <v>307</v>
      </c>
    </row>
    <row r="1122" spans="2:22" ht="30">
      <c r="B1122" s="646" t="s">
        <v>380</v>
      </c>
      <c r="C1122" s="646"/>
      <c r="D1122" s="647" t="s">
        <v>3917</v>
      </c>
      <c r="E1122" s="651">
        <v>41263</v>
      </c>
      <c r="F1122" s="651"/>
      <c r="G1122" s="525" t="s">
        <v>3916</v>
      </c>
      <c r="H1122" s="525"/>
      <c r="I1122" s="31"/>
      <c r="J1122" s="1233"/>
      <c r="K1122" s="31"/>
      <c r="L1122" s="21">
        <v>3000</v>
      </c>
      <c r="M1122" s="21"/>
      <c r="N1122" s="21">
        <f t="shared" si="237"/>
        <v>3000</v>
      </c>
      <c r="O1122" s="283"/>
      <c r="P1122" s="647" t="s">
        <v>110</v>
      </c>
      <c r="Q1122" s="1136" t="s">
        <v>105</v>
      </c>
      <c r="R1122" s="963">
        <v>3000</v>
      </c>
      <c r="S1122" s="963">
        <v>3000</v>
      </c>
      <c r="T1122" s="961"/>
      <c r="U1122" s="525"/>
      <c r="V1122" s="523" t="s">
        <v>307</v>
      </c>
    </row>
    <row r="1123" spans="2:22" ht="30">
      <c r="B1123" s="646" t="s">
        <v>337</v>
      </c>
      <c r="C1123" s="646"/>
      <c r="D1123" s="647" t="s">
        <v>3919</v>
      </c>
      <c r="E1123" s="651">
        <v>41263</v>
      </c>
      <c r="F1123" s="651"/>
      <c r="G1123" s="525" t="s">
        <v>3918</v>
      </c>
      <c r="H1123" s="525"/>
      <c r="I1123" s="31"/>
      <c r="J1123" s="1233"/>
      <c r="K1123" s="31"/>
      <c r="L1123" s="21">
        <v>3000</v>
      </c>
      <c r="M1123" s="21"/>
      <c r="N1123" s="21">
        <f t="shared" si="237"/>
        <v>3000</v>
      </c>
      <c r="O1123" s="283"/>
      <c r="P1123" s="647" t="s">
        <v>110</v>
      </c>
      <c r="Q1123" s="1136" t="s">
        <v>105</v>
      </c>
      <c r="R1123" s="963">
        <v>3000</v>
      </c>
      <c r="S1123" s="963">
        <v>3000</v>
      </c>
      <c r="T1123" s="961"/>
      <c r="U1123" s="525"/>
      <c r="V1123" s="523" t="s">
        <v>307</v>
      </c>
    </row>
    <row r="1124" spans="2:22" ht="30">
      <c r="B1124" s="646" t="s">
        <v>337</v>
      </c>
      <c r="C1124" s="646"/>
      <c r="D1124" s="647" t="s">
        <v>3921</v>
      </c>
      <c r="E1124" s="651">
        <v>41263</v>
      </c>
      <c r="F1124" s="651"/>
      <c r="G1124" s="525" t="s">
        <v>3920</v>
      </c>
      <c r="H1124" s="525"/>
      <c r="I1124" s="31"/>
      <c r="J1124" s="1233"/>
      <c r="K1124" s="31"/>
      <c r="L1124" s="21">
        <v>2000</v>
      </c>
      <c r="M1124" s="21"/>
      <c r="N1124" s="21">
        <f t="shared" si="237"/>
        <v>2000</v>
      </c>
      <c r="O1124" s="283"/>
      <c r="P1124" s="647" t="s">
        <v>110</v>
      </c>
      <c r="Q1124" s="1136" t="s">
        <v>105</v>
      </c>
      <c r="R1124" s="963">
        <v>2000</v>
      </c>
      <c r="S1124" s="963">
        <v>2000</v>
      </c>
      <c r="T1124" s="961"/>
      <c r="U1124" s="525"/>
      <c r="V1124" s="523" t="s">
        <v>307</v>
      </c>
    </row>
    <row r="1125" spans="2:22" ht="30">
      <c r="B1125" s="646" t="s">
        <v>311</v>
      </c>
      <c r="C1125" s="646"/>
      <c r="D1125" s="647" t="s">
        <v>3923</v>
      </c>
      <c r="E1125" s="651">
        <v>41263</v>
      </c>
      <c r="F1125" s="651"/>
      <c r="G1125" s="525" t="s">
        <v>3922</v>
      </c>
      <c r="H1125" s="525"/>
      <c r="I1125" s="31"/>
      <c r="J1125" s="1233"/>
      <c r="K1125" s="31"/>
      <c r="L1125" s="21">
        <f>20081083/1000</f>
        <v>20081.082999999999</v>
      </c>
      <c r="M1125" s="21"/>
      <c r="N1125" s="21">
        <f t="shared" si="237"/>
        <v>20081.082999999999</v>
      </c>
      <c r="O1125" s="283"/>
      <c r="P1125" s="647" t="s">
        <v>110</v>
      </c>
      <c r="Q1125" s="1136" t="s">
        <v>105</v>
      </c>
      <c r="R1125" s="35">
        <f>20081083/1000</f>
        <v>20081.082999999999</v>
      </c>
      <c r="S1125" s="35">
        <v>14290</v>
      </c>
      <c r="T1125" s="1071" t="s">
        <v>6156</v>
      </c>
      <c r="U1125" s="525"/>
      <c r="V1125" s="523" t="s">
        <v>307</v>
      </c>
    </row>
    <row r="1126" spans="2:22" ht="30">
      <c r="B1126" s="646" t="s">
        <v>380</v>
      </c>
      <c r="C1126" s="646"/>
      <c r="D1126" s="647" t="s">
        <v>3924</v>
      </c>
      <c r="E1126" s="651">
        <v>41263</v>
      </c>
      <c r="F1126" s="651"/>
      <c r="G1126" s="525" t="s">
        <v>3916</v>
      </c>
      <c r="H1126" s="525"/>
      <c r="I1126" s="31"/>
      <c r="J1126" s="1233"/>
      <c r="K1126" s="31"/>
      <c r="L1126" s="21">
        <f>13997500/1000</f>
        <v>13997.5</v>
      </c>
      <c r="M1126" s="21"/>
      <c r="N1126" s="21">
        <f t="shared" si="237"/>
        <v>13997.5</v>
      </c>
      <c r="O1126" s="283"/>
      <c r="P1126" s="647" t="s">
        <v>110</v>
      </c>
      <c r="Q1126" s="1136" t="s">
        <v>105</v>
      </c>
      <c r="R1126" s="963">
        <f>13997500/1000</f>
        <v>13997.5</v>
      </c>
      <c r="S1126" s="963">
        <f>13997500/1000</f>
        <v>13997.5</v>
      </c>
      <c r="T1126" s="1007">
        <v>13488</v>
      </c>
      <c r="U1126" s="525"/>
      <c r="V1126" s="523" t="s">
        <v>307</v>
      </c>
    </row>
    <row r="1127" spans="2:22" ht="30">
      <c r="B1127" s="646" t="s">
        <v>319</v>
      </c>
      <c r="C1127" s="646"/>
      <c r="D1127" s="647" t="s">
        <v>3925</v>
      </c>
      <c r="E1127" s="527">
        <v>41264</v>
      </c>
      <c r="F1127" s="527"/>
      <c r="G1127" s="525" t="s">
        <v>353</v>
      </c>
      <c r="H1127" s="525"/>
      <c r="I1127" s="31"/>
      <c r="J1127" s="1233"/>
      <c r="K1127" s="31"/>
      <c r="L1127" s="21">
        <v>30000</v>
      </c>
      <c r="M1127" s="21"/>
      <c r="N1127" s="21">
        <f t="shared" si="237"/>
        <v>30000</v>
      </c>
      <c r="O1127" s="283"/>
      <c r="P1127" s="647" t="s">
        <v>110</v>
      </c>
      <c r="Q1127" s="1136" t="s">
        <v>105</v>
      </c>
      <c r="R1127" s="963">
        <v>30000</v>
      </c>
      <c r="S1127" s="963">
        <v>30000</v>
      </c>
      <c r="T1127" s="961"/>
      <c r="U1127" s="525"/>
      <c r="V1127" s="523" t="s">
        <v>307</v>
      </c>
    </row>
    <row r="1128" spans="2:22" ht="30">
      <c r="B1128" s="646" t="s">
        <v>349</v>
      </c>
      <c r="C1128" s="646"/>
      <c r="D1128" s="647" t="s">
        <v>3926</v>
      </c>
      <c r="E1128" s="527">
        <v>41264</v>
      </c>
      <c r="F1128" s="527"/>
      <c r="G1128" s="525" t="s">
        <v>315</v>
      </c>
      <c r="H1128" s="525"/>
      <c r="I1128" s="31"/>
      <c r="J1128" s="1233"/>
      <c r="K1128" s="31"/>
      <c r="L1128" s="21">
        <v>11215</v>
      </c>
      <c r="M1128" s="21"/>
      <c r="N1128" s="21">
        <f t="shared" si="237"/>
        <v>11215</v>
      </c>
      <c r="O1128" s="283"/>
      <c r="P1128" s="647" t="s">
        <v>110</v>
      </c>
      <c r="Q1128" s="1136" t="s">
        <v>105</v>
      </c>
      <c r="R1128" s="145">
        <f>SUM(R1129:R1147)</f>
        <v>11215</v>
      </c>
      <c r="S1128" s="145">
        <f>SUM(S1129:S1147)</f>
        <v>11215</v>
      </c>
      <c r="T1128" s="961"/>
      <c r="U1128" s="525"/>
      <c r="V1128" s="523" t="s">
        <v>307</v>
      </c>
    </row>
    <row r="1129" spans="2:22">
      <c r="B1129" s="648" t="s">
        <v>1919</v>
      </c>
      <c r="C1129" s="648"/>
      <c r="D1129" s="649"/>
      <c r="E1129" s="444"/>
      <c r="F1129" s="444"/>
      <c r="G1129" s="42"/>
      <c r="H1129" s="42"/>
      <c r="L1129" s="283"/>
      <c r="M1129" s="283"/>
      <c r="N1129" s="283"/>
      <c r="O1129" s="283"/>
      <c r="P1129" s="525"/>
      <c r="Q1129" s="21"/>
      <c r="R1129" s="1015">
        <v>1080</v>
      </c>
      <c r="S1129" s="1015">
        <v>1080</v>
      </c>
      <c r="T1129" s="962"/>
      <c r="U1129" s="42"/>
      <c r="V1129" s="288"/>
    </row>
    <row r="1130" spans="2:22">
      <c r="B1130" s="648" t="s">
        <v>1566</v>
      </c>
      <c r="C1130" s="648"/>
      <c r="D1130" s="649"/>
      <c r="E1130" s="444"/>
      <c r="F1130" s="444"/>
      <c r="G1130" s="42"/>
      <c r="H1130" s="42"/>
      <c r="L1130" s="283"/>
      <c r="M1130" s="283"/>
      <c r="N1130" s="283"/>
      <c r="O1130" s="283"/>
      <c r="P1130" s="525"/>
      <c r="Q1130" s="21"/>
      <c r="R1130" s="1015">
        <v>1080</v>
      </c>
      <c r="S1130" s="1015">
        <v>1080</v>
      </c>
      <c r="T1130" s="962"/>
      <c r="U1130" s="42"/>
      <c r="V1130" s="288"/>
    </row>
    <row r="1131" spans="2:22">
      <c r="B1131" s="648" t="s">
        <v>2647</v>
      </c>
      <c r="C1131" s="648"/>
      <c r="D1131" s="649"/>
      <c r="E1131" s="444"/>
      <c r="F1131" s="444"/>
      <c r="G1131" s="42"/>
      <c r="H1131" s="42"/>
      <c r="L1131" s="283"/>
      <c r="M1131" s="283"/>
      <c r="N1131" s="283"/>
      <c r="O1131" s="283"/>
      <c r="P1131" s="525"/>
      <c r="Q1131" s="21"/>
      <c r="R1131" s="1015">
        <v>810</v>
      </c>
      <c r="S1131" s="1015">
        <v>810</v>
      </c>
      <c r="T1131" s="962"/>
      <c r="U1131" s="42"/>
      <c r="V1131" s="288"/>
    </row>
    <row r="1132" spans="2:22">
      <c r="B1132" s="648" t="s">
        <v>1577</v>
      </c>
      <c r="C1132" s="648"/>
      <c r="D1132" s="649"/>
      <c r="E1132" s="444"/>
      <c r="F1132" s="444"/>
      <c r="G1132" s="42"/>
      <c r="H1132" s="42"/>
      <c r="L1132" s="283"/>
      <c r="M1132" s="283"/>
      <c r="N1132" s="283"/>
      <c r="O1132" s="283"/>
      <c r="P1132" s="525"/>
      <c r="Q1132" s="21"/>
      <c r="R1132" s="1015">
        <v>810</v>
      </c>
      <c r="S1132" s="1015">
        <v>810</v>
      </c>
      <c r="T1132" s="962"/>
      <c r="U1132" s="42"/>
      <c r="V1132" s="288"/>
    </row>
    <row r="1133" spans="2:22">
      <c r="B1133" s="648" t="s">
        <v>1578</v>
      </c>
      <c r="C1133" s="648"/>
      <c r="D1133" s="649"/>
      <c r="E1133" s="444"/>
      <c r="F1133" s="444"/>
      <c r="G1133" s="42"/>
      <c r="H1133" s="42"/>
      <c r="L1133" s="283"/>
      <c r="M1133" s="283"/>
      <c r="N1133" s="283"/>
      <c r="O1133" s="283"/>
      <c r="P1133" s="525"/>
      <c r="Q1133" s="21"/>
      <c r="R1133" s="1015">
        <v>810</v>
      </c>
      <c r="S1133" s="1015">
        <v>810</v>
      </c>
      <c r="T1133" s="962"/>
      <c r="U1133" s="42"/>
      <c r="V1133" s="288"/>
    </row>
    <row r="1134" spans="2:22">
      <c r="B1134" s="648" t="s">
        <v>1576</v>
      </c>
      <c r="C1134" s="648"/>
      <c r="D1134" s="649"/>
      <c r="E1134" s="444"/>
      <c r="F1134" s="444"/>
      <c r="G1134" s="42"/>
      <c r="H1134" s="42"/>
      <c r="L1134" s="283"/>
      <c r="M1134" s="283"/>
      <c r="N1134" s="283"/>
      <c r="O1134" s="283"/>
      <c r="P1134" s="525"/>
      <c r="Q1134" s="21"/>
      <c r="R1134" s="1015">
        <v>810</v>
      </c>
      <c r="S1134" s="1015">
        <v>810</v>
      </c>
      <c r="T1134" s="962"/>
      <c r="U1134" s="42"/>
      <c r="V1134" s="288"/>
    </row>
    <row r="1135" spans="2:22">
      <c r="B1135" s="648" t="s">
        <v>2648</v>
      </c>
      <c r="C1135" s="648"/>
      <c r="D1135" s="649"/>
      <c r="E1135" s="444"/>
      <c r="F1135" s="444"/>
      <c r="G1135" s="42"/>
      <c r="H1135" s="42"/>
      <c r="L1135" s="283"/>
      <c r="M1135" s="283"/>
      <c r="N1135" s="283"/>
      <c r="O1135" s="283"/>
      <c r="P1135" s="525"/>
      <c r="Q1135" s="21"/>
      <c r="R1135" s="1015">
        <v>540</v>
      </c>
      <c r="S1135" s="1015">
        <v>540</v>
      </c>
      <c r="T1135" s="962"/>
      <c r="U1135" s="42"/>
      <c r="V1135" s="288"/>
    </row>
    <row r="1136" spans="2:22">
      <c r="B1136" s="648" t="s">
        <v>1579</v>
      </c>
      <c r="C1136" s="648"/>
      <c r="D1136" s="649"/>
      <c r="E1136" s="444"/>
      <c r="F1136" s="444"/>
      <c r="G1136" s="42"/>
      <c r="H1136" s="42"/>
      <c r="L1136" s="283"/>
      <c r="M1136" s="283"/>
      <c r="N1136" s="283"/>
      <c r="O1136" s="283"/>
      <c r="P1136" s="525"/>
      <c r="Q1136" s="21"/>
      <c r="R1136" s="1015">
        <v>540</v>
      </c>
      <c r="S1136" s="1015">
        <v>540</v>
      </c>
      <c r="T1136" s="962"/>
      <c r="U1136" s="42"/>
      <c r="V1136" s="288"/>
    </row>
    <row r="1137" spans="2:22">
      <c r="B1137" s="648" t="s">
        <v>1584</v>
      </c>
      <c r="C1137" s="648"/>
      <c r="D1137" s="649"/>
      <c r="E1137" s="444"/>
      <c r="F1137" s="444"/>
      <c r="G1137" s="42"/>
      <c r="H1137" s="42"/>
      <c r="L1137" s="283"/>
      <c r="M1137" s="283"/>
      <c r="N1137" s="283"/>
      <c r="O1137" s="283"/>
      <c r="P1137" s="525"/>
      <c r="Q1137" s="21"/>
      <c r="R1137" s="1015">
        <v>540</v>
      </c>
      <c r="S1137" s="1015">
        <v>540</v>
      </c>
      <c r="T1137" s="962"/>
      <c r="U1137" s="42"/>
      <c r="V1137" s="288"/>
    </row>
    <row r="1138" spans="2:22">
      <c r="B1138" s="648" t="s">
        <v>1586</v>
      </c>
      <c r="C1138" s="648"/>
      <c r="D1138" s="649"/>
      <c r="E1138" s="444"/>
      <c r="F1138" s="444"/>
      <c r="G1138" s="42"/>
      <c r="H1138" s="42"/>
      <c r="L1138" s="283"/>
      <c r="M1138" s="283"/>
      <c r="N1138" s="283"/>
      <c r="O1138" s="283"/>
      <c r="P1138" s="525"/>
      <c r="Q1138" s="21"/>
      <c r="R1138" s="1015">
        <v>270</v>
      </c>
      <c r="S1138" s="1015">
        <v>270</v>
      </c>
      <c r="T1138" s="962"/>
      <c r="U1138" s="42"/>
      <c r="V1138" s="288"/>
    </row>
    <row r="1139" spans="2:22">
      <c r="B1139" s="648" t="s">
        <v>2582</v>
      </c>
      <c r="C1139" s="648"/>
      <c r="D1139" s="649"/>
      <c r="E1139" s="444"/>
      <c r="F1139" s="444"/>
      <c r="G1139" s="42"/>
      <c r="H1139" s="42"/>
      <c r="L1139" s="283"/>
      <c r="M1139" s="283"/>
      <c r="N1139" s="283"/>
      <c r="O1139" s="283"/>
      <c r="P1139" s="525"/>
      <c r="Q1139" s="21"/>
      <c r="R1139" s="1015">
        <v>270</v>
      </c>
      <c r="S1139" s="1015">
        <v>270</v>
      </c>
      <c r="T1139" s="962"/>
      <c r="U1139" s="42"/>
      <c r="V1139" s="288"/>
    </row>
    <row r="1140" spans="2:22">
      <c r="B1140" s="648" t="s">
        <v>1587</v>
      </c>
      <c r="C1140" s="648"/>
      <c r="D1140" s="649"/>
      <c r="E1140" s="444"/>
      <c r="F1140" s="444"/>
      <c r="G1140" s="42"/>
      <c r="H1140" s="42"/>
      <c r="L1140" s="283"/>
      <c r="M1140" s="283"/>
      <c r="N1140" s="283"/>
      <c r="O1140" s="283"/>
      <c r="P1140" s="525"/>
      <c r="Q1140" s="21"/>
      <c r="R1140" s="1015">
        <v>270</v>
      </c>
      <c r="S1140" s="1015">
        <v>270</v>
      </c>
      <c r="T1140" s="962"/>
      <c r="U1140" s="42"/>
      <c r="V1140" s="288"/>
    </row>
    <row r="1141" spans="2:22">
      <c r="B1141" s="648" t="s">
        <v>1588</v>
      </c>
      <c r="C1141" s="648"/>
      <c r="D1141" s="649"/>
      <c r="E1141" s="444"/>
      <c r="F1141" s="444"/>
      <c r="G1141" s="42"/>
      <c r="H1141" s="42"/>
      <c r="L1141" s="283"/>
      <c r="M1141" s="283"/>
      <c r="N1141" s="283"/>
      <c r="O1141" s="283"/>
      <c r="P1141" s="525"/>
      <c r="Q1141" s="21"/>
      <c r="R1141" s="1015">
        <v>1215</v>
      </c>
      <c r="S1141" s="1015">
        <v>1215</v>
      </c>
      <c r="T1141" s="962"/>
      <c r="U1141" s="42"/>
      <c r="V1141" s="288"/>
    </row>
    <row r="1142" spans="2:22">
      <c r="B1142" s="648" t="s">
        <v>1589</v>
      </c>
      <c r="C1142" s="648"/>
      <c r="D1142" s="649"/>
      <c r="E1142" s="444"/>
      <c r="F1142" s="444"/>
      <c r="G1142" s="42"/>
      <c r="H1142" s="42"/>
      <c r="L1142" s="283"/>
      <c r="M1142" s="283"/>
      <c r="N1142" s="283"/>
      <c r="O1142" s="283"/>
      <c r="P1142" s="525"/>
      <c r="Q1142" s="21"/>
      <c r="R1142" s="1015">
        <v>270</v>
      </c>
      <c r="S1142" s="1015">
        <v>270</v>
      </c>
      <c r="T1142" s="962"/>
      <c r="U1142" s="42"/>
      <c r="V1142" s="288"/>
    </row>
    <row r="1143" spans="2:22">
      <c r="B1143" s="648" t="s">
        <v>3927</v>
      </c>
      <c r="C1143" s="648"/>
      <c r="D1143" s="649"/>
      <c r="E1143" s="444"/>
      <c r="F1143" s="444"/>
      <c r="G1143" s="42"/>
      <c r="H1143" s="42"/>
      <c r="L1143" s="283"/>
      <c r="M1143" s="283"/>
      <c r="N1143" s="283"/>
      <c r="O1143" s="283"/>
      <c r="P1143" s="525"/>
      <c r="Q1143" s="21"/>
      <c r="R1143" s="1015">
        <v>380</v>
      </c>
      <c r="S1143" s="1015">
        <v>380</v>
      </c>
      <c r="T1143" s="962"/>
      <c r="U1143" s="42"/>
      <c r="V1143" s="288"/>
    </row>
    <row r="1144" spans="2:22">
      <c r="B1144" s="648" t="s">
        <v>3928</v>
      </c>
      <c r="C1144" s="648"/>
      <c r="D1144" s="649"/>
      <c r="E1144" s="444"/>
      <c r="F1144" s="444"/>
      <c r="G1144" s="42"/>
      <c r="H1144" s="42"/>
      <c r="L1144" s="283"/>
      <c r="M1144" s="283"/>
      <c r="N1144" s="283"/>
      <c r="O1144" s="283"/>
      <c r="P1144" s="525"/>
      <c r="Q1144" s="21"/>
      <c r="R1144" s="1015">
        <v>380</v>
      </c>
      <c r="S1144" s="1015">
        <v>380</v>
      </c>
      <c r="T1144" s="962"/>
      <c r="U1144" s="42"/>
      <c r="V1144" s="288"/>
    </row>
    <row r="1145" spans="2:22">
      <c r="B1145" s="648" t="s">
        <v>3929</v>
      </c>
      <c r="C1145" s="648"/>
      <c r="D1145" s="649"/>
      <c r="E1145" s="444"/>
      <c r="F1145" s="444"/>
      <c r="G1145" s="42"/>
      <c r="H1145" s="42"/>
      <c r="L1145" s="283"/>
      <c r="M1145" s="283"/>
      <c r="N1145" s="283"/>
      <c r="O1145" s="283"/>
      <c r="P1145" s="525"/>
      <c r="Q1145" s="21"/>
      <c r="R1145" s="1015">
        <v>380</v>
      </c>
      <c r="S1145" s="1015">
        <v>380</v>
      </c>
      <c r="T1145" s="962"/>
      <c r="U1145" s="42"/>
      <c r="V1145" s="288"/>
    </row>
    <row r="1146" spans="2:22">
      <c r="B1146" s="648" t="s">
        <v>1567</v>
      </c>
      <c r="C1146" s="648"/>
      <c r="D1146" s="649"/>
      <c r="E1146" s="444"/>
      <c r="F1146" s="444"/>
      <c r="G1146" s="42"/>
      <c r="H1146" s="42"/>
      <c r="L1146" s="283"/>
      <c r="M1146" s="283"/>
      <c r="N1146" s="283"/>
      <c r="O1146" s="283"/>
      <c r="P1146" s="525"/>
      <c r="Q1146" s="21"/>
      <c r="R1146" s="1015">
        <v>380</v>
      </c>
      <c r="S1146" s="1015">
        <v>380</v>
      </c>
      <c r="T1146" s="962"/>
      <c r="U1146" s="42"/>
      <c r="V1146" s="288"/>
    </row>
    <row r="1147" spans="2:22">
      <c r="B1147" s="648" t="s">
        <v>3930</v>
      </c>
      <c r="C1147" s="648"/>
      <c r="D1147" s="649"/>
      <c r="E1147" s="444"/>
      <c r="F1147" s="444"/>
      <c r="G1147" s="42"/>
      <c r="H1147" s="42"/>
      <c r="L1147" s="283"/>
      <c r="M1147" s="283"/>
      <c r="N1147" s="283"/>
      <c r="O1147" s="283"/>
      <c r="P1147" s="525"/>
      <c r="Q1147" s="21"/>
      <c r="R1147" s="1015">
        <v>380</v>
      </c>
      <c r="S1147" s="1015">
        <v>380</v>
      </c>
      <c r="T1147" s="962"/>
      <c r="U1147" s="42"/>
      <c r="V1147" s="288"/>
    </row>
    <row r="1148" spans="2:22" ht="30">
      <c r="B1148" s="646" t="s">
        <v>314</v>
      </c>
      <c r="C1148" s="646"/>
      <c r="D1148" s="647" t="s">
        <v>3931</v>
      </c>
      <c r="E1148" s="527">
        <v>41250</v>
      </c>
      <c r="F1148" s="527"/>
      <c r="G1148" s="525" t="s">
        <v>315</v>
      </c>
      <c r="H1148" s="525"/>
      <c r="I1148" s="31"/>
      <c r="J1148" s="1233"/>
      <c r="K1148" s="31"/>
      <c r="L1148" s="21">
        <v>6000</v>
      </c>
      <c r="M1148" s="21"/>
      <c r="N1148" s="21">
        <f t="shared" si="237"/>
        <v>6000</v>
      </c>
      <c r="O1148" s="283"/>
      <c r="P1148" s="647" t="s">
        <v>110</v>
      </c>
      <c r="Q1148" s="1136" t="s">
        <v>105</v>
      </c>
      <c r="R1148" s="963">
        <v>6000</v>
      </c>
      <c r="S1148" s="963">
        <v>6000</v>
      </c>
      <c r="T1148" s="961"/>
      <c r="U1148" s="525"/>
      <c r="V1148" s="523" t="s">
        <v>307</v>
      </c>
    </row>
    <row r="1149" spans="2:22" ht="30">
      <c r="B1149" s="646" t="s">
        <v>337</v>
      </c>
      <c r="C1149" s="646"/>
      <c r="D1149" s="647" t="s">
        <v>3933</v>
      </c>
      <c r="E1149" s="527">
        <v>41250</v>
      </c>
      <c r="F1149" s="527"/>
      <c r="G1149" s="525" t="s">
        <v>3932</v>
      </c>
      <c r="H1149" s="525"/>
      <c r="I1149" s="31"/>
      <c r="J1149" s="1233"/>
      <c r="K1149" s="31"/>
      <c r="L1149" s="21">
        <v>2250</v>
      </c>
      <c r="M1149" s="21"/>
      <c r="N1149" s="21">
        <f t="shared" si="237"/>
        <v>2250</v>
      </c>
      <c r="O1149" s="283"/>
      <c r="P1149" s="647" t="s">
        <v>110</v>
      </c>
      <c r="Q1149" s="1136" t="s">
        <v>105</v>
      </c>
      <c r="R1149" s="963">
        <v>2250</v>
      </c>
      <c r="S1149" s="963">
        <v>2250</v>
      </c>
      <c r="T1149" s="961"/>
      <c r="U1149" s="525"/>
      <c r="V1149" s="523" t="s">
        <v>307</v>
      </c>
    </row>
    <row r="1150" spans="2:22" ht="30">
      <c r="B1150" s="646" t="s">
        <v>314</v>
      </c>
      <c r="C1150" s="646"/>
      <c r="D1150" s="647" t="s">
        <v>3934</v>
      </c>
      <c r="E1150" s="527">
        <v>41250</v>
      </c>
      <c r="F1150" s="527"/>
      <c r="G1150" s="525" t="s">
        <v>2632</v>
      </c>
      <c r="H1150" s="525"/>
      <c r="I1150" s="31"/>
      <c r="J1150" s="1233"/>
      <c r="K1150" s="31"/>
      <c r="L1150" s="21">
        <f>44915200/1000</f>
        <v>44915.199999999997</v>
      </c>
      <c r="M1150" s="21"/>
      <c r="N1150" s="21">
        <f t="shared" si="237"/>
        <v>44915.199999999997</v>
      </c>
      <c r="O1150" s="283"/>
      <c r="P1150" s="647" t="s">
        <v>110</v>
      </c>
      <c r="Q1150" s="1136" t="s">
        <v>105</v>
      </c>
      <c r="R1150" s="963">
        <f>44915200/1000</f>
        <v>44915.199999999997</v>
      </c>
      <c r="S1150" s="963">
        <f>44915200/1000</f>
        <v>44915.199999999997</v>
      </c>
      <c r="T1150" s="961"/>
      <c r="U1150" s="525"/>
      <c r="V1150" s="523" t="s">
        <v>307</v>
      </c>
    </row>
    <row r="1151" spans="2:22" ht="30">
      <c r="B1151" s="646" t="s">
        <v>314</v>
      </c>
      <c r="C1151" s="646"/>
      <c r="D1151" s="647" t="s">
        <v>3936</v>
      </c>
      <c r="E1151" s="527">
        <v>41250</v>
      </c>
      <c r="F1151" s="527"/>
      <c r="G1151" s="525" t="s">
        <v>3935</v>
      </c>
      <c r="H1151" s="525"/>
      <c r="I1151" s="31"/>
      <c r="J1151" s="1233"/>
      <c r="K1151" s="31"/>
      <c r="L1151" s="21">
        <v>6480</v>
      </c>
      <c r="M1151" s="21"/>
      <c r="N1151" s="21">
        <f t="shared" si="237"/>
        <v>6480</v>
      </c>
      <c r="O1151" s="283"/>
      <c r="P1151" s="647" t="s">
        <v>110</v>
      </c>
      <c r="Q1151" s="1136" t="s">
        <v>105</v>
      </c>
      <c r="R1151" s="963"/>
      <c r="S1151" s="963"/>
      <c r="T1151" s="961"/>
      <c r="U1151" s="525"/>
      <c r="V1151" s="523" t="s">
        <v>307</v>
      </c>
    </row>
    <row r="1152" spans="2:22">
      <c r="B1152" s="654" t="s">
        <v>5700</v>
      </c>
      <c r="C1152" s="646"/>
      <c r="D1152" s="647"/>
      <c r="E1152" s="527"/>
      <c r="F1152" s="527"/>
      <c r="G1152" s="525"/>
      <c r="H1152" s="525"/>
      <c r="I1152" s="31"/>
      <c r="J1152" s="1233"/>
      <c r="K1152" s="31"/>
      <c r="L1152" s="21"/>
      <c r="M1152" s="21"/>
      <c r="N1152" s="21">
        <f t="shared" si="237"/>
        <v>0</v>
      </c>
      <c r="O1152" s="283"/>
      <c r="P1152" s="647"/>
      <c r="Q1152" s="1136"/>
      <c r="R1152" s="35">
        <v>3500</v>
      </c>
      <c r="S1152" s="35">
        <v>3500</v>
      </c>
      <c r="T1152" s="961"/>
      <c r="U1152" s="525"/>
      <c r="V1152" s="523"/>
    </row>
    <row r="1153" spans="2:22">
      <c r="B1153" s="654" t="s">
        <v>5694</v>
      </c>
      <c r="C1153" s="646"/>
      <c r="D1153" s="647"/>
      <c r="E1153" s="527"/>
      <c r="F1153" s="527"/>
      <c r="G1153" s="525"/>
      <c r="H1153" s="525"/>
      <c r="I1153" s="31"/>
      <c r="J1153" s="1233"/>
      <c r="K1153" s="31"/>
      <c r="L1153" s="795"/>
      <c r="M1153" s="21"/>
      <c r="N1153" s="21">
        <f t="shared" si="237"/>
        <v>0</v>
      </c>
      <c r="O1153" s="283"/>
      <c r="P1153" s="647"/>
      <c r="Q1153" s="1136"/>
      <c r="R1153" s="35">
        <v>2980</v>
      </c>
      <c r="S1153" s="35">
        <v>2980</v>
      </c>
      <c r="T1153" s="961"/>
      <c r="U1153" s="525"/>
      <c r="V1153" s="523"/>
    </row>
    <row r="1154" spans="2:22" ht="30">
      <c r="B1154" s="646" t="s">
        <v>319</v>
      </c>
      <c r="C1154" s="646"/>
      <c r="D1154" s="647" t="s">
        <v>3937</v>
      </c>
      <c r="E1154" s="527">
        <v>41636</v>
      </c>
      <c r="F1154" s="527"/>
      <c r="G1154" s="525" t="s">
        <v>315</v>
      </c>
      <c r="H1154" s="525"/>
      <c r="I1154" s="31"/>
      <c r="J1154" s="1233"/>
      <c r="K1154" s="31"/>
      <c r="L1154" s="21">
        <v>25960</v>
      </c>
      <c r="M1154" s="21"/>
      <c r="N1154" s="21">
        <f t="shared" si="237"/>
        <v>25960</v>
      </c>
      <c r="O1154" s="283"/>
      <c r="P1154" s="647" t="s">
        <v>110</v>
      </c>
      <c r="Q1154" s="1136" t="s">
        <v>105</v>
      </c>
      <c r="R1154" s="963">
        <v>25960</v>
      </c>
      <c r="S1154" s="963">
        <v>25960</v>
      </c>
      <c r="T1154" s="961"/>
      <c r="U1154" s="525"/>
      <c r="V1154" s="523" t="s">
        <v>307</v>
      </c>
    </row>
    <row r="1155" spans="2:22" ht="30">
      <c r="B1155" s="646" t="s">
        <v>337</v>
      </c>
      <c r="C1155" s="646"/>
      <c r="D1155" s="647" t="s">
        <v>3938</v>
      </c>
      <c r="E1155" s="651">
        <v>41636</v>
      </c>
      <c r="F1155" s="651"/>
      <c r="G1155" s="525" t="s">
        <v>315</v>
      </c>
      <c r="H1155" s="525"/>
      <c r="I1155" s="31"/>
      <c r="J1155" s="1233"/>
      <c r="K1155" s="31"/>
      <c r="L1155" s="21">
        <v>40800</v>
      </c>
      <c r="M1155" s="21"/>
      <c r="N1155" s="21">
        <f t="shared" si="237"/>
        <v>40800</v>
      </c>
      <c r="O1155" s="283"/>
      <c r="P1155" s="647" t="s">
        <v>110</v>
      </c>
      <c r="Q1155" s="1136" t="s">
        <v>105</v>
      </c>
      <c r="R1155" s="963">
        <v>40800</v>
      </c>
      <c r="S1155" s="963">
        <v>40800</v>
      </c>
      <c r="T1155" s="961"/>
      <c r="U1155" s="525"/>
      <c r="V1155" s="523" t="s">
        <v>307</v>
      </c>
    </row>
    <row r="1156" spans="2:22">
      <c r="B1156" s="222"/>
      <c r="C1156" s="222"/>
      <c r="D1156" s="77"/>
      <c r="E1156" s="539"/>
      <c r="F1156" s="539"/>
      <c r="G1156" s="1103"/>
      <c r="H1156" s="1103"/>
    </row>
    <row r="1157" spans="2:22">
      <c r="B1157" s="222"/>
      <c r="C1157" s="222"/>
      <c r="D1157" s="77"/>
      <c r="E1157" s="539"/>
      <c r="F1157" s="539"/>
      <c r="G1157" s="1103"/>
      <c r="H1157" s="1103"/>
      <c r="K1157" s="1204"/>
      <c r="L1157" s="479">
        <f>SUM(L1158:L1599)</f>
        <v>1083296.746</v>
      </c>
      <c r="M1157" s="1204"/>
      <c r="N1157" s="479">
        <f>SUM(N1158:N1599)</f>
        <v>1083296.746</v>
      </c>
      <c r="R1157" s="479">
        <f t="shared" ref="R1157:S1157" si="238">SUM(R1158:R1599)</f>
        <v>1147260.746</v>
      </c>
      <c r="S1157" s="479">
        <f t="shared" si="238"/>
        <v>1146921.746</v>
      </c>
    </row>
    <row r="1158" spans="2:22" ht="30">
      <c r="B1158" s="653" t="s">
        <v>314</v>
      </c>
      <c r="C1158" s="653"/>
      <c r="D1158" s="655" t="s">
        <v>3939</v>
      </c>
      <c r="E1158" s="656">
        <v>41283</v>
      </c>
      <c r="F1158" s="656"/>
      <c r="G1158" s="654" t="s">
        <v>3493</v>
      </c>
      <c r="H1158" s="654"/>
      <c r="I1158" s="31"/>
      <c r="J1158" s="1233"/>
      <c r="K1158" s="31"/>
      <c r="L1158" s="21">
        <v>37000</v>
      </c>
      <c r="M1158" s="21"/>
      <c r="N1158" s="21">
        <f t="shared" ref="N1158:N1242" si="239">SUM(L1158:M1158)</f>
        <v>37000</v>
      </c>
      <c r="O1158" s="283"/>
      <c r="P1158" s="647" t="s">
        <v>110</v>
      </c>
      <c r="Q1158" s="1136" t="s">
        <v>105</v>
      </c>
      <c r="R1158" s="963">
        <v>37000</v>
      </c>
      <c r="S1158" s="963">
        <v>37000</v>
      </c>
      <c r="T1158" s="966"/>
      <c r="U1158" s="654"/>
      <c r="V1158" s="523" t="s">
        <v>307</v>
      </c>
    </row>
    <row r="1159" spans="2:22" ht="30">
      <c r="B1159" s="653" t="s">
        <v>319</v>
      </c>
      <c r="C1159" s="653"/>
      <c r="D1159" s="655" t="s">
        <v>3941</v>
      </c>
      <c r="E1159" s="656">
        <v>41283</v>
      </c>
      <c r="F1159" s="656"/>
      <c r="G1159" s="654" t="s">
        <v>3940</v>
      </c>
      <c r="H1159" s="654"/>
      <c r="I1159" s="31"/>
      <c r="J1159" s="1233"/>
      <c r="K1159" s="31"/>
      <c r="L1159" s="21">
        <v>5000</v>
      </c>
      <c r="M1159" s="21"/>
      <c r="N1159" s="21">
        <f t="shared" si="239"/>
        <v>5000</v>
      </c>
      <c r="O1159" s="283"/>
      <c r="P1159" s="647" t="s">
        <v>110</v>
      </c>
      <c r="Q1159" s="1136" t="s">
        <v>105</v>
      </c>
      <c r="R1159" s="963">
        <v>5000</v>
      </c>
      <c r="S1159" s="963">
        <v>5000</v>
      </c>
      <c r="T1159" s="966"/>
      <c r="U1159" s="654"/>
      <c r="V1159" s="523" t="s">
        <v>307</v>
      </c>
    </row>
    <row r="1160" spans="2:22" ht="30">
      <c r="B1160" s="653" t="s">
        <v>314</v>
      </c>
      <c r="C1160" s="653"/>
      <c r="D1160" s="655" t="s">
        <v>3943</v>
      </c>
      <c r="E1160" s="657">
        <v>41283</v>
      </c>
      <c r="F1160" s="657"/>
      <c r="G1160" s="654" t="s">
        <v>3942</v>
      </c>
      <c r="H1160" s="654"/>
      <c r="I1160" s="31"/>
      <c r="J1160" s="1233"/>
      <c r="K1160" s="31"/>
      <c r="L1160" s="21">
        <v>2000</v>
      </c>
      <c r="M1160" s="21"/>
      <c r="N1160" s="21">
        <f t="shared" si="239"/>
        <v>2000</v>
      </c>
      <c r="O1160" s="283"/>
      <c r="P1160" s="647" t="s">
        <v>110</v>
      </c>
      <c r="Q1160" s="1136" t="s">
        <v>105</v>
      </c>
      <c r="R1160" s="963">
        <v>2000</v>
      </c>
      <c r="S1160" s="963">
        <v>2000</v>
      </c>
      <c r="T1160" s="966"/>
      <c r="U1160" s="654"/>
      <c r="V1160" s="523" t="s">
        <v>307</v>
      </c>
    </row>
    <row r="1161" spans="2:22" ht="30">
      <c r="B1161" s="653" t="s">
        <v>314</v>
      </c>
      <c r="C1161" s="653"/>
      <c r="D1161" s="655" t="s">
        <v>3945</v>
      </c>
      <c r="E1161" s="656">
        <v>41283</v>
      </c>
      <c r="F1161" s="656"/>
      <c r="G1161" s="654" t="s">
        <v>3944</v>
      </c>
      <c r="H1161" s="654"/>
      <c r="I1161" s="31"/>
      <c r="J1161" s="1233"/>
      <c r="K1161" s="31"/>
      <c r="L1161" s="21">
        <v>200</v>
      </c>
      <c r="M1161" s="21"/>
      <c r="N1161" s="21">
        <f t="shared" si="239"/>
        <v>200</v>
      </c>
      <c r="O1161" s="283"/>
      <c r="P1161" s="647" t="s">
        <v>110</v>
      </c>
      <c r="Q1161" s="1136" t="s">
        <v>105</v>
      </c>
      <c r="R1161" s="963">
        <v>200</v>
      </c>
      <c r="S1161" s="963">
        <v>200</v>
      </c>
      <c r="T1161" s="966"/>
      <c r="U1161" s="654"/>
      <c r="V1161" s="523" t="s">
        <v>307</v>
      </c>
    </row>
    <row r="1162" spans="2:22" ht="30">
      <c r="B1162" s="653" t="s">
        <v>2651</v>
      </c>
      <c r="C1162" s="653"/>
      <c r="D1162" s="655" t="s">
        <v>3946</v>
      </c>
      <c r="E1162" s="656">
        <v>41283</v>
      </c>
      <c r="F1162" s="656"/>
      <c r="G1162" s="525" t="s">
        <v>315</v>
      </c>
      <c r="H1162" s="654"/>
      <c r="I1162" s="31"/>
      <c r="J1162" s="1233"/>
      <c r="K1162" s="31"/>
      <c r="L1162" s="21">
        <v>550</v>
      </c>
      <c r="M1162" s="21"/>
      <c r="N1162" s="21">
        <f t="shared" si="239"/>
        <v>550</v>
      </c>
      <c r="O1162" s="283"/>
      <c r="P1162" s="647" t="s">
        <v>110</v>
      </c>
      <c r="Q1162" s="1136" t="s">
        <v>105</v>
      </c>
      <c r="R1162" s="963">
        <v>550</v>
      </c>
      <c r="S1162" s="963">
        <v>550</v>
      </c>
      <c r="T1162" s="966" t="s">
        <v>6189</v>
      </c>
      <c r="U1162" s="654"/>
      <c r="V1162" s="523" t="s">
        <v>307</v>
      </c>
    </row>
    <row r="1163" spans="2:22" ht="30">
      <c r="B1163" s="653" t="s">
        <v>331</v>
      </c>
      <c r="C1163" s="653"/>
      <c r="D1163" s="658" t="s">
        <v>3947</v>
      </c>
      <c r="E1163" s="656">
        <v>41284</v>
      </c>
      <c r="F1163" s="656"/>
      <c r="G1163" s="654" t="s">
        <v>1698</v>
      </c>
      <c r="H1163" s="654"/>
      <c r="I1163" s="31"/>
      <c r="J1163" s="1233"/>
      <c r="K1163" s="31"/>
      <c r="L1163" s="21">
        <v>10000</v>
      </c>
      <c r="M1163" s="21"/>
      <c r="N1163" s="21">
        <f t="shared" si="239"/>
        <v>10000</v>
      </c>
      <c r="O1163" s="283"/>
      <c r="P1163" s="647" t="s">
        <v>110</v>
      </c>
      <c r="Q1163" s="1136" t="s">
        <v>105</v>
      </c>
      <c r="R1163" s="963">
        <v>10000</v>
      </c>
      <c r="S1163" s="963">
        <v>10000</v>
      </c>
      <c r="T1163" s="966"/>
      <c r="U1163" s="654"/>
      <c r="V1163" s="523" t="s">
        <v>307</v>
      </c>
    </row>
    <row r="1164" spans="2:22" ht="30">
      <c r="B1164" s="653" t="s">
        <v>331</v>
      </c>
      <c r="C1164" s="653"/>
      <c r="D1164" s="658" t="s">
        <v>3949</v>
      </c>
      <c r="E1164" s="656">
        <v>41284</v>
      </c>
      <c r="F1164" s="656"/>
      <c r="G1164" s="654" t="s">
        <v>3948</v>
      </c>
      <c r="H1164" s="654"/>
      <c r="I1164" s="31"/>
      <c r="J1164" s="1233"/>
      <c r="K1164" s="31"/>
      <c r="L1164" s="21">
        <v>3000</v>
      </c>
      <c r="M1164" s="21"/>
      <c r="N1164" s="21">
        <f t="shared" si="239"/>
        <v>3000</v>
      </c>
      <c r="O1164" s="283"/>
      <c r="P1164" s="647" t="s">
        <v>110</v>
      </c>
      <c r="Q1164" s="1136" t="s">
        <v>105</v>
      </c>
      <c r="R1164" s="963">
        <v>3000</v>
      </c>
      <c r="S1164" s="963">
        <v>3000</v>
      </c>
      <c r="T1164" s="966"/>
      <c r="U1164" s="654"/>
      <c r="V1164" s="523" t="s">
        <v>307</v>
      </c>
    </row>
    <row r="1165" spans="2:22" ht="30">
      <c r="B1165" s="653" t="s">
        <v>380</v>
      </c>
      <c r="C1165" s="653"/>
      <c r="D1165" s="658" t="s">
        <v>3951</v>
      </c>
      <c r="E1165" s="656">
        <v>41284</v>
      </c>
      <c r="F1165" s="656"/>
      <c r="G1165" s="654" t="s">
        <v>3950</v>
      </c>
      <c r="H1165" s="654"/>
      <c r="I1165" s="31"/>
      <c r="J1165" s="1233"/>
      <c r="K1165" s="31"/>
      <c r="L1165" s="21">
        <v>5000</v>
      </c>
      <c r="M1165" s="21"/>
      <c r="N1165" s="21">
        <f t="shared" si="239"/>
        <v>5000</v>
      </c>
      <c r="O1165" s="283"/>
      <c r="P1165" s="647" t="s">
        <v>110</v>
      </c>
      <c r="Q1165" s="1136" t="s">
        <v>105</v>
      </c>
      <c r="R1165" s="963">
        <v>5000</v>
      </c>
      <c r="S1165" s="963">
        <v>5000</v>
      </c>
      <c r="T1165" s="1072">
        <v>5000</v>
      </c>
      <c r="U1165" s="654"/>
      <c r="V1165" s="523" t="s">
        <v>307</v>
      </c>
    </row>
    <row r="1166" spans="2:22" ht="30">
      <c r="B1166" s="653" t="s">
        <v>321</v>
      </c>
      <c r="C1166" s="653"/>
      <c r="D1166" s="658" t="s">
        <v>3953</v>
      </c>
      <c r="E1166" s="656">
        <v>41284</v>
      </c>
      <c r="F1166" s="656"/>
      <c r="G1166" s="654" t="s">
        <v>3952</v>
      </c>
      <c r="H1166" s="654"/>
      <c r="I1166" s="31"/>
      <c r="J1166" s="1233"/>
      <c r="K1166" s="31"/>
      <c r="L1166" s="21">
        <v>10000</v>
      </c>
      <c r="M1166" s="21"/>
      <c r="N1166" s="21">
        <f t="shared" si="239"/>
        <v>10000</v>
      </c>
      <c r="O1166" s="283"/>
      <c r="P1166" s="647" t="s">
        <v>110</v>
      </c>
      <c r="Q1166" s="1136" t="s">
        <v>105</v>
      </c>
      <c r="R1166" s="963">
        <v>10000</v>
      </c>
      <c r="S1166" s="963">
        <v>10000</v>
      </c>
      <c r="T1166" s="966"/>
      <c r="U1166" s="654"/>
      <c r="V1166" s="523" t="s">
        <v>307</v>
      </c>
    </row>
    <row r="1167" spans="2:22" ht="30">
      <c r="B1167" s="653" t="s">
        <v>314</v>
      </c>
      <c r="C1167" s="653"/>
      <c r="D1167" s="658" t="s">
        <v>3955</v>
      </c>
      <c r="E1167" s="656">
        <v>41288</v>
      </c>
      <c r="F1167" s="656"/>
      <c r="G1167" s="654" t="s">
        <v>3954</v>
      </c>
      <c r="H1167" s="654"/>
      <c r="I1167" s="31"/>
      <c r="J1167" s="1233"/>
      <c r="K1167" s="31"/>
      <c r="L1167" s="21">
        <v>7600</v>
      </c>
      <c r="M1167" s="21"/>
      <c r="N1167" s="21">
        <f t="shared" si="239"/>
        <v>7600</v>
      </c>
      <c r="O1167" s="283"/>
      <c r="P1167" s="647" t="s">
        <v>110</v>
      </c>
      <c r="Q1167" s="1136" t="s">
        <v>105</v>
      </c>
      <c r="R1167" s="963">
        <v>7600</v>
      </c>
      <c r="S1167" s="963">
        <v>7600</v>
      </c>
      <c r="T1167" s="966"/>
      <c r="U1167" s="654"/>
      <c r="V1167" s="523" t="s">
        <v>307</v>
      </c>
    </row>
    <row r="1168" spans="2:22" ht="30">
      <c r="B1168" s="653" t="s">
        <v>2651</v>
      </c>
      <c r="C1168" s="653"/>
      <c r="D1168" s="658" t="s">
        <v>3956</v>
      </c>
      <c r="E1168" s="656">
        <v>41288</v>
      </c>
      <c r="F1168" s="656"/>
      <c r="G1168" s="654" t="s">
        <v>315</v>
      </c>
      <c r="H1168" s="654"/>
      <c r="I1168" s="31"/>
      <c r="J1168" s="1233"/>
      <c r="K1168" s="31"/>
      <c r="L1168" s="21">
        <v>3000</v>
      </c>
      <c r="M1168" s="21"/>
      <c r="N1168" s="21">
        <f t="shared" si="239"/>
        <v>3000</v>
      </c>
      <c r="O1168" s="283"/>
      <c r="P1168" s="647" t="s">
        <v>110</v>
      </c>
      <c r="Q1168" s="1136" t="s">
        <v>105</v>
      </c>
      <c r="R1168" s="963">
        <v>3000</v>
      </c>
      <c r="S1168" s="963">
        <v>3000</v>
      </c>
      <c r="T1168" s="966"/>
      <c r="U1168" s="654"/>
      <c r="V1168" s="523" t="s">
        <v>307</v>
      </c>
    </row>
    <row r="1169" spans="2:22" ht="30">
      <c r="B1169" s="653" t="s">
        <v>317</v>
      </c>
      <c r="C1169" s="653"/>
      <c r="D1169" s="658" t="s">
        <v>3957</v>
      </c>
      <c r="E1169" s="656">
        <v>41289</v>
      </c>
      <c r="F1169" s="656"/>
      <c r="G1169" s="654" t="s">
        <v>1613</v>
      </c>
      <c r="H1169" s="654"/>
      <c r="I1169" s="31"/>
      <c r="J1169" s="1233"/>
      <c r="K1169" s="31"/>
      <c r="L1169" s="21">
        <v>10000</v>
      </c>
      <c r="M1169" s="21"/>
      <c r="N1169" s="21">
        <f t="shared" si="239"/>
        <v>10000</v>
      </c>
      <c r="O1169" s="283"/>
      <c r="P1169" s="647" t="s">
        <v>110</v>
      </c>
      <c r="Q1169" s="1136" t="s">
        <v>105</v>
      </c>
      <c r="R1169" s="963">
        <v>10000</v>
      </c>
      <c r="S1169" s="963">
        <v>10000</v>
      </c>
      <c r="T1169" s="966"/>
      <c r="U1169" s="654"/>
      <c r="V1169" s="523" t="s">
        <v>307</v>
      </c>
    </row>
    <row r="1170" spans="2:22" ht="30">
      <c r="B1170" s="653" t="s">
        <v>311</v>
      </c>
      <c r="C1170" s="653"/>
      <c r="D1170" s="658" t="s">
        <v>3959</v>
      </c>
      <c r="E1170" s="656">
        <v>41289</v>
      </c>
      <c r="F1170" s="656"/>
      <c r="G1170" s="654" t="s">
        <v>3958</v>
      </c>
      <c r="H1170" s="654"/>
      <c r="I1170" s="31"/>
      <c r="J1170" s="1233"/>
      <c r="K1170" s="31"/>
      <c r="L1170" s="21">
        <v>4704</v>
      </c>
      <c r="M1170" s="21"/>
      <c r="N1170" s="21">
        <f t="shared" si="239"/>
        <v>4704</v>
      </c>
      <c r="O1170" s="283"/>
      <c r="P1170" s="647" t="s">
        <v>110</v>
      </c>
      <c r="Q1170" s="1136" t="s">
        <v>105</v>
      </c>
      <c r="R1170" s="963">
        <v>4704</v>
      </c>
      <c r="S1170" s="963">
        <v>4704</v>
      </c>
      <c r="T1170" s="966"/>
      <c r="U1170" s="654"/>
      <c r="V1170" s="523" t="s">
        <v>307</v>
      </c>
    </row>
    <row r="1171" spans="2:22" ht="90">
      <c r="B1171" s="653" t="s">
        <v>308</v>
      </c>
      <c r="C1171" s="653"/>
      <c r="D1171" s="658" t="s">
        <v>3960</v>
      </c>
      <c r="E1171" s="656">
        <v>41289</v>
      </c>
      <c r="F1171" s="656"/>
      <c r="G1171" s="654" t="s">
        <v>2573</v>
      </c>
      <c r="H1171" s="654"/>
      <c r="I1171" s="31"/>
      <c r="J1171" s="1233"/>
      <c r="K1171" s="31"/>
      <c r="L1171" s="21">
        <v>2500</v>
      </c>
      <c r="M1171" s="21"/>
      <c r="N1171" s="21">
        <f t="shared" si="239"/>
        <v>2500</v>
      </c>
      <c r="O1171" s="283"/>
      <c r="P1171" s="647" t="s">
        <v>110</v>
      </c>
      <c r="Q1171" s="1136" t="s">
        <v>105</v>
      </c>
      <c r="R1171" s="963">
        <v>2500</v>
      </c>
      <c r="S1171" s="963">
        <v>2500</v>
      </c>
      <c r="T1171" s="961" t="s">
        <v>4646</v>
      </c>
      <c r="U1171" s="654"/>
      <c r="V1171" s="523" t="s">
        <v>307</v>
      </c>
    </row>
    <row r="1172" spans="2:22" ht="30">
      <c r="B1172" s="653" t="s">
        <v>311</v>
      </c>
      <c r="C1172" s="653"/>
      <c r="D1172" s="658" t="s">
        <v>3962</v>
      </c>
      <c r="E1172" s="656">
        <v>41289</v>
      </c>
      <c r="F1172" s="656"/>
      <c r="G1172" s="654" t="s">
        <v>3961</v>
      </c>
      <c r="H1172" s="654"/>
      <c r="I1172" s="31"/>
      <c r="J1172" s="1233"/>
      <c r="K1172" s="31"/>
      <c r="L1172" s="21">
        <v>2500</v>
      </c>
      <c r="M1172" s="21"/>
      <c r="N1172" s="21">
        <f t="shared" si="239"/>
        <v>2500</v>
      </c>
      <c r="O1172" s="283"/>
      <c r="P1172" s="647" t="s">
        <v>110</v>
      </c>
      <c r="Q1172" s="1136" t="s">
        <v>105</v>
      </c>
      <c r="R1172" s="963">
        <v>2500</v>
      </c>
      <c r="S1172" s="963">
        <v>2500</v>
      </c>
      <c r="T1172" s="966"/>
      <c r="U1172" s="654"/>
      <c r="V1172" s="523" t="s">
        <v>307</v>
      </c>
    </row>
    <row r="1173" spans="2:22" ht="30">
      <c r="B1173" s="653" t="s">
        <v>314</v>
      </c>
      <c r="C1173" s="653"/>
      <c r="D1173" s="658" t="s">
        <v>3964</v>
      </c>
      <c r="E1173" s="656">
        <v>41289</v>
      </c>
      <c r="F1173" s="656"/>
      <c r="G1173" s="654" t="s">
        <v>3963</v>
      </c>
      <c r="H1173" s="654"/>
      <c r="I1173" s="31"/>
      <c r="J1173" s="1233"/>
      <c r="K1173" s="31"/>
      <c r="L1173" s="21">
        <v>8000</v>
      </c>
      <c r="M1173" s="21"/>
      <c r="N1173" s="21">
        <f t="shared" si="239"/>
        <v>8000</v>
      </c>
      <c r="O1173" s="283"/>
      <c r="P1173" s="647" t="s">
        <v>110</v>
      </c>
      <c r="Q1173" s="1136" t="s">
        <v>105</v>
      </c>
      <c r="R1173" s="963">
        <v>8000</v>
      </c>
      <c r="S1173" s="963">
        <v>8000</v>
      </c>
      <c r="T1173" s="966"/>
      <c r="U1173" s="654"/>
      <c r="V1173" s="523" t="s">
        <v>307</v>
      </c>
    </row>
    <row r="1174" spans="2:22" ht="30">
      <c r="B1174" s="653" t="s">
        <v>314</v>
      </c>
      <c r="C1174" s="653"/>
      <c r="D1174" s="658" t="s">
        <v>3966</v>
      </c>
      <c r="E1174" s="656">
        <v>41289</v>
      </c>
      <c r="F1174" s="656"/>
      <c r="G1174" s="654" t="s">
        <v>3965</v>
      </c>
      <c r="H1174" s="654"/>
      <c r="I1174" s="31"/>
      <c r="J1174" s="1233"/>
      <c r="K1174" s="31"/>
      <c r="L1174" s="21">
        <v>2000</v>
      </c>
      <c r="M1174" s="21"/>
      <c r="N1174" s="21">
        <f t="shared" si="239"/>
        <v>2000</v>
      </c>
      <c r="O1174" s="283"/>
      <c r="P1174" s="647" t="s">
        <v>110</v>
      </c>
      <c r="Q1174" s="1136" t="s">
        <v>105</v>
      </c>
      <c r="R1174" s="963">
        <v>2000</v>
      </c>
      <c r="S1174" s="963">
        <v>2000</v>
      </c>
      <c r="T1174" s="966"/>
      <c r="U1174" s="654"/>
      <c r="V1174" s="523" t="s">
        <v>307</v>
      </c>
    </row>
    <row r="1175" spans="2:22" ht="30">
      <c r="B1175" s="653" t="s">
        <v>314</v>
      </c>
      <c r="C1175" s="653"/>
      <c r="D1175" s="658" t="s">
        <v>3968</v>
      </c>
      <c r="E1175" s="656">
        <v>41289</v>
      </c>
      <c r="F1175" s="656"/>
      <c r="G1175" s="654" t="s">
        <v>3967</v>
      </c>
      <c r="H1175" s="654"/>
      <c r="I1175" s="31"/>
      <c r="J1175" s="1233"/>
      <c r="K1175" s="31"/>
      <c r="L1175" s="21">
        <v>1000</v>
      </c>
      <c r="M1175" s="21"/>
      <c r="N1175" s="21">
        <f t="shared" si="239"/>
        <v>1000</v>
      </c>
      <c r="O1175" s="283"/>
      <c r="P1175" s="647" t="s">
        <v>110</v>
      </c>
      <c r="Q1175" s="1136" t="s">
        <v>105</v>
      </c>
      <c r="R1175" s="963"/>
      <c r="S1175" s="963"/>
      <c r="T1175" s="966"/>
      <c r="U1175" s="654"/>
      <c r="V1175" s="523" t="s">
        <v>307</v>
      </c>
    </row>
    <row r="1176" spans="2:22">
      <c r="B1176" s="985" t="s">
        <v>5701</v>
      </c>
      <c r="C1176" s="653"/>
      <c r="D1176" s="658"/>
      <c r="E1176" s="656"/>
      <c r="F1176" s="656"/>
      <c r="G1176" s="654"/>
      <c r="H1176" s="654"/>
      <c r="I1176" s="31"/>
      <c r="J1176" s="1233"/>
      <c r="K1176" s="31"/>
      <c r="L1176" s="795"/>
      <c r="M1176" s="21"/>
      <c r="N1176" s="21">
        <f t="shared" si="239"/>
        <v>0</v>
      </c>
      <c r="O1176" s="283"/>
      <c r="P1176" s="647"/>
      <c r="Q1176" s="1136"/>
      <c r="R1176" s="35">
        <v>0</v>
      </c>
      <c r="S1176" s="35">
        <v>0</v>
      </c>
      <c r="T1176" s="966"/>
      <c r="U1176" s="654"/>
      <c r="V1176" s="523"/>
    </row>
    <row r="1177" spans="2:22" ht="30">
      <c r="B1177" s="985" t="s">
        <v>5702</v>
      </c>
      <c r="C1177" s="653"/>
      <c r="D1177" s="658"/>
      <c r="E1177" s="656"/>
      <c r="F1177" s="656"/>
      <c r="G1177" s="654"/>
      <c r="H1177" s="654"/>
      <c r="I1177" s="31"/>
      <c r="J1177" s="1233"/>
      <c r="K1177" s="31"/>
      <c r="L1177" s="795"/>
      <c r="M1177" s="21"/>
      <c r="N1177" s="21">
        <f t="shared" si="239"/>
        <v>0</v>
      </c>
      <c r="O1177" s="283"/>
      <c r="P1177" s="647"/>
      <c r="Q1177" s="1136"/>
      <c r="R1177" s="35">
        <v>500</v>
      </c>
      <c r="S1177" s="35">
        <v>345</v>
      </c>
      <c r="T1177" s="966" t="s">
        <v>5703</v>
      </c>
      <c r="U1177" s="654"/>
      <c r="V1177" s="523"/>
    </row>
    <row r="1178" spans="2:22">
      <c r="B1178" s="654"/>
      <c r="C1178" s="653"/>
      <c r="D1178" s="658"/>
      <c r="E1178" s="656"/>
      <c r="F1178" s="656"/>
      <c r="G1178" s="654"/>
      <c r="H1178" s="654"/>
      <c r="I1178" s="31"/>
      <c r="J1178" s="1233"/>
      <c r="K1178" s="31"/>
      <c r="L1178" s="21">
        <v>500</v>
      </c>
      <c r="M1178" s="21"/>
      <c r="N1178" s="21">
        <f t="shared" si="239"/>
        <v>500</v>
      </c>
      <c r="O1178" s="283"/>
      <c r="P1178" s="647"/>
      <c r="Q1178" s="1136"/>
      <c r="R1178" s="35">
        <v>500</v>
      </c>
      <c r="S1178" s="35">
        <v>500</v>
      </c>
      <c r="T1178" s="966"/>
      <c r="U1178" s="654"/>
      <c r="V1178" s="523"/>
    </row>
    <row r="1179" spans="2:22" ht="30">
      <c r="B1179" s="653" t="s">
        <v>311</v>
      </c>
      <c r="C1179" s="653"/>
      <c r="D1179" s="658" t="s">
        <v>3969</v>
      </c>
      <c r="E1179" s="656">
        <v>41289</v>
      </c>
      <c r="F1179" s="656"/>
      <c r="G1179" s="654" t="s">
        <v>3958</v>
      </c>
      <c r="H1179" s="654"/>
      <c r="I1179" s="31"/>
      <c r="J1179" s="1233"/>
      <c r="K1179" s="31"/>
      <c r="L1179" s="21">
        <v>9800</v>
      </c>
      <c r="M1179" s="21"/>
      <c r="N1179" s="21">
        <f t="shared" si="239"/>
        <v>9800</v>
      </c>
      <c r="O1179" s="283"/>
      <c r="P1179" s="647" t="s">
        <v>110</v>
      </c>
      <c r="Q1179" s="1136" t="s">
        <v>105</v>
      </c>
      <c r="R1179" s="36">
        <f>SUM(R1180:R1184)</f>
        <v>9800</v>
      </c>
      <c r="S1179" s="36">
        <f>SUM(S1180:S1184)</f>
        <v>9725</v>
      </c>
      <c r="T1179" s="1073" t="s">
        <v>6157</v>
      </c>
      <c r="U1179" s="654"/>
      <c r="V1179" s="523" t="s">
        <v>307</v>
      </c>
    </row>
    <row r="1180" spans="2:22">
      <c r="B1180" s="653" t="s">
        <v>5476</v>
      </c>
      <c r="C1180" s="653"/>
      <c r="D1180" s="658"/>
      <c r="E1180" s="656"/>
      <c r="F1180" s="656"/>
      <c r="G1180" s="654"/>
      <c r="H1180" s="654"/>
      <c r="I1180" s="31"/>
      <c r="J1180" s="1233"/>
      <c r="K1180" s="31"/>
      <c r="L1180" s="795"/>
      <c r="M1180" s="21"/>
      <c r="N1180" s="21">
        <f>SUM(L1180:M1180)</f>
        <v>0</v>
      </c>
      <c r="O1180" s="283"/>
      <c r="P1180" s="647"/>
      <c r="Q1180" s="1136"/>
      <c r="R1180" s="35">
        <v>3750</v>
      </c>
      <c r="S1180" s="35">
        <v>3750</v>
      </c>
      <c r="T1180" s="966" t="s">
        <v>5479</v>
      </c>
      <c r="U1180" s="654"/>
      <c r="V1180" s="523"/>
    </row>
    <row r="1181" spans="2:22">
      <c r="B1181" s="653" t="s">
        <v>5382</v>
      </c>
      <c r="C1181" s="653"/>
      <c r="D1181" s="658"/>
      <c r="E1181" s="656"/>
      <c r="F1181" s="656"/>
      <c r="G1181" s="654"/>
      <c r="H1181" s="654"/>
      <c r="I1181" s="31"/>
      <c r="J1181" s="1233"/>
      <c r="K1181" s="31"/>
      <c r="L1181" s="795"/>
      <c r="M1181" s="21"/>
      <c r="N1181" s="21">
        <f>SUM(L1181:M1181)</f>
        <v>0</v>
      </c>
      <c r="O1181" s="283"/>
      <c r="P1181" s="647"/>
      <c r="Q1181" s="1136"/>
      <c r="R1181" s="35">
        <v>1000</v>
      </c>
      <c r="S1181" s="35">
        <v>1000</v>
      </c>
      <c r="T1181" s="966" t="s">
        <v>5479</v>
      </c>
      <c r="U1181" s="654"/>
      <c r="V1181" s="523"/>
    </row>
    <row r="1182" spans="2:22">
      <c r="B1182" s="653" t="s">
        <v>5380</v>
      </c>
      <c r="C1182" s="653"/>
      <c r="D1182" s="658"/>
      <c r="E1182" s="656"/>
      <c r="F1182" s="656"/>
      <c r="G1182" s="654"/>
      <c r="H1182" s="654"/>
      <c r="I1182" s="31"/>
      <c r="J1182" s="1233"/>
      <c r="K1182" s="31"/>
      <c r="L1182" s="795"/>
      <c r="M1182" s="21"/>
      <c r="N1182" s="21">
        <f>SUM(L1182:M1182)</f>
        <v>0</v>
      </c>
      <c r="O1182" s="283"/>
      <c r="P1182" s="647"/>
      <c r="Q1182" s="1136"/>
      <c r="R1182" s="35">
        <v>1000</v>
      </c>
      <c r="S1182" s="35">
        <v>925</v>
      </c>
      <c r="T1182" s="966" t="s">
        <v>5479</v>
      </c>
      <c r="U1182" s="654"/>
      <c r="V1182" s="523"/>
    </row>
    <row r="1183" spans="2:22">
      <c r="B1183" s="653" t="s">
        <v>5477</v>
      </c>
      <c r="C1183" s="653"/>
      <c r="D1183" s="658"/>
      <c r="E1183" s="656"/>
      <c r="F1183" s="656"/>
      <c r="G1183" s="654"/>
      <c r="H1183" s="654"/>
      <c r="I1183" s="31"/>
      <c r="J1183" s="1233"/>
      <c r="K1183" s="31"/>
      <c r="L1183" s="795"/>
      <c r="M1183" s="21"/>
      <c r="N1183" s="21">
        <f>SUM(L1183:M1183)</f>
        <v>0</v>
      </c>
      <c r="O1183" s="283"/>
      <c r="P1183" s="647"/>
      <c r="Q1183" s="1136"/>
      <c r="R1183" s="35">
        <v>850</v>
      </c>
      <c r="S1183" s="35">
        <v>850</v>
      </c>
      <c r="T1183" s="966" t="s">
        <v>5480</v>
      </c>
      <c r="U1183" s="654"/>
      <c r="V1183" s="523"/>
    </row>
    <row r="1184" spans="2:22">
      <c r="B1184" s="653" t="s">
        <v>5478</v>
      </c>
      <c r="C1184" s="653"/>
      <c r="D1184" s="658"/>
      <c r="E1184" s="656"/>
      <c r="F1184" s="656"/>
      <c r="G1184" s="654"/>
      <c r="H1184" s="654"/>
      <c r="I1184" s="31"/>
      <c r="J1184" s="1233"/>
      <c r="K1184" s="31"/>
      <c r="L1184" s="795"/>
      <c r="M1184" s="21"/>
      <c r="N1184" s="21">
        <f>SUM(L1184:M1184)</f>
        <v>0</v>
      </c>
      <c r="O1184" s="283"/>
      <c r="P1184" s="647"/>
      <c r="Q1184" s="1136"/>
      <c r="R1184" s="35">
        <v>3200</v>
      </c>
      <c r="S1184" s="35">
        <v>3200</v>
      </c>
      <c r="T1184" s="966" t="s">
        <v>5480</v>
      </c>
      <c r="U1184" s="654"/>
      <c r="V1184" s="523"/>
    </row>
    <row r="1185" spans="2:22" ht="30">
      <c r="B1185" s="653" t="s">
        <v>343</v>
      </c>
      <c r="C1185" s="653"/>
      <c r="D1185" s="658" t="s">
        <v>3971</v>
      </c>
      <c r="E1185" s="656">
        <v>41289</v>
      </c>
      <c r="F1185" s="656"/>
      <c r="G1185" s="654" t="s">
        <v>3970</v>
      </c>
      <c r="H1185" s="654"/>
      <c r="I1185" s="31"/>
      <c r="J1185" s="1233"/>
      <c r="K1185" s="31"/>
      <c r="L1185" s="21">
        <v>5000</v>
      </c>
      <c r="M1185" s="21"/>
      <c r="N1185" s="21">
        <f t="shared" si="239"/>
        <v>5000</v>
      </c>
      <c r="O1185" s="283"/>
      <c r="P1185" s="647" t="s">
        <v>110</v>
      </c>
      <c r="Q1185" s="1136" t="s">
        <v>105</v>
      </c>
      <c r="R1185" s="968"/>
      <c r="S1185" s="968"/>
      <c r="T1185" s="966"/>
      <c r="U1185" s="654"/>
      <c r="V1185" s="523" t="s">
        <v>307</v>
      </c>
    </row>
    <row r="1186" spans="2:22">
      <c r="B1186" s="648" t="s">
        <v>3820</v>
      </c>
      <c r="C1186" s="648"/>
      <c r="D1186" s="282"/>
      <c r="E1186" s="659"/>
      <c r="F1186" s="659"/>
      <c r="G1186" s="281"/>
      <c r="H1186" s="281"/>
      <c r="L1186" s="283"/>
      <c r="M1186" s="283"/>
      <c r="N1186" s="283"/>
      <c r="O1186" s="283"/>
      <c r="P1186" s="654"/>
      <c r="Q1186" s="21"/>
      <c r="R1186" s="1019">
        <v>4000</v>
      </c>
      <c r="S1186" s="1019">
        <v>4000</v>
      </c>
      <c r="T1186" s="967"/>
      <c r="U1186" s="281"/>
      <c r="V1186" s="288"/>
    </row>
    <row r="1187" spans="2:22">
      <c r="B1187" s="648" t="s">
        <v>3822</v>
      </c>
      <c r="C1187" s="648"/>
      <c r="D1187" s="282"/>
      <c r="E1187" s="659"/>
      <c r="F1187" s="659"/>
      <c r="G1187" s="281"/>
      <c r="H1187" s="281"/>
      <c r="L1187" s="283"/>
      <c r="M1187" s="283"/>
      <c r="N1187" s="283"/>
      <c r="O1187" s="283"/>
      <c r="P1187" s="654"/>
      <c r="Q1187" s="21"/>
      <c r="R1187" s="1019">
        <v>1000</v>
      </c>
      <c r="S1187" s="1019">
        <v>1000</v>
      </c>
      <c r="T1187" s="967"/>
      <c r="U1187" s="281"/>
      <c r="V1187" s="288"/>
    </row>
    <row r="1188" spans="2:22" ht="30">
      <c r="B1188" s="653" t="s">
        <v>331</v>
      </c>
      <c r="C1188" s="653"/>
      <c r="D1188" s="658" t="s">
        <v>3972</v>
      </c>
      <c r="E1188" s="656">
        <v>41290</v>
      </c>
      <c r="F1188" s="656"/>
      <c r="G1188" s="654" t="s">
        <v>3948</v>
      </c>
      <c r="H1188" s="654"/>
      <c r="I1188" s="31"/>
      <c r="J1188" s="1233"/>
      <c r="K1188" s="31"/>
      <c r="L1188" s="21">
        <v>450</v>
      </c>
      <c r="M1188" s="21"/>
      <c r="N1188" s="21">
        <f t="shared" si="239"/>
        <v>450</v>
      </c>
      <c r="O1188" s="283"/>
      <c r="P1188" s="647" t="s">
        <v>110</v>
      </c>
      <c r="Q1188" s="1136" t="s">
        <v>105</v>
      </c>
      <c r="R1188" s="963">
        <v>450</v>
      </c>
      <c r="S1188" s="963">
        <v>450</v>
      </c>
      <c r="T1188" s="966"/>
      <c r="U1188" s="654"/>
      <c r="V1188" s="523" t="s">
        <v>307</v>
      </c>
    </row>
    <row r="1189" spans="2:22" ht="30">
      <c r="B1189" s="653" t="s">
        <v>331</v>
      </c>
      <c r="C1189" s="653"/>
      <c r="D1189" s="658" t="s">
        <v>3973</v>
      </c>
      <c r="E1189" s="657">
        <v>41290</v>
      </c>
      <c r="F1189" s="657"/>
      <c r="G1189" s="654" t="s">
        <v>3532</v>
      </c>
      <c r="H1189" s="654"/>
      <c r="I1189" s="31"/>
      <c r="J1189" s="1233"/>
      <c r="K1189" s="31"/>
      <c r="L1189" s="21">
        <v>1000</v>
      </c>
      <c r="M1189" s="21"/>
      <c r="N1189" s="21">
        <f t="shared" si="239"/>
        <v>1000</v>
      </c>
      <c r="O1189" s="283"/>
      <c r="P1189" s="647" t="s">
        <v>110</v>
      </c>
      <c r="Q1189" s="1136" t="s">
        <v>105</v>
      </c>
      <c r="R1189" s="963">
        <v>1000</v>
      </c>
      <c r="S1189" s="963">
        <v>1000</v>
      </c>
      <c r="T1189" s="966"/>
      <c r="U1189" s="654"/>
      <c r="V1189" s="523" t="s">
        <v>307</v>
      </c>
    </row>
    <row r="1190" spans="2:22" ht="90">
      <c r="B1190" s="653" t="s">
        <v>308</v>
      </c>
      <c r="C1190" s="653"/>
      <c r="D1190" s="658" t="s">
        <v>3974</v>
      </c>
      <c r="E1190" s="657">
        <v>41290</v>
      </c>
      <c r="F1190" s="657"/>
      <c r="G1190" s="654" t="s">
        <v>3585</v>
      </c>
      <c r="H1190" s="654"/>
      <c r="I1190" s="31"/>
      <c r="J1190" s="1233"/>
      <c r="K1190" s="31"/>
      <c r="L1190" s="21">
        <v>250</v>
      </c>
      <c r="M1190" s="21"/>
      <c r="N1190" s="21">
        <f t="shared" si="239"/>
        <v>250</v>
      </c>
      <c r="O1190" s="283"/>
      <c r="P1190" s="647" t="s">
        <v>110</v>
      </c>
      <c r="Q1190" s="1136" t="s">
        <v>105</v>
      </c>
      <c r="R1190" s="963">
        <v>250</v>
      </c>
      <c r="S1190" s="963">
        <v>250</v>
      </c>
      <c r="T1190" s="961" t="s">
        <v>4646</v>
      </c>
      <c r="U1190" s="654"/>
      <c r="V1190" s="523" t="s">
        <v>307</v>
      </c>
    </row>
    <row r="1191" spans="2:22" ht="30">
      <c r="B1191" s="653" t="s">
        <v>311</v>
      </c>
      <c r="C1191" s="653"/>
      <c r="D1191" s="658" t="s">
        <v>3976</v>
      </c>
      <c r="E1191" s="657">
        <v>41290</v>
      </c>
      <c r="F1191" s="657"/>
      <c r="G1191" s="654" t="s">
        <v>3975</v>
      </c>
      <c r="H1191" s="654"/>
      <c r="I1191" s="31"/>
      <c r="J1191" s="1233"/>
      <c r="K1191" s="31"/>
      <c r="L1191" s="21">
        <v>2000</v>
      </c>
      <c r="M1191" s="21"/>
      <c r="N1191" s="21">
        <f t="shared" si="239"/>
        <v>2000</v>
      </c>
      <c r="O1191" s="283"/>
      <c r="P1191" s="647" t="s">
        <v>110</v>
      </c>
      <c r="Q1191" s="1136" t="s">
        <v>105</v>
      </c>
      <c r="R1191" s="963">
        <v>2000</v>
      </c>
      <c r="S1191" s="963">
        <v>2000</v>
      </c>
      <c r="T1191" s="966"/>
      <c r="U1191" s="654"/>
      <c r="V1191" s="523" t="s">
        <v>307</v>
      </c>
    </row>
    <row r="1192" spans="2:22" ht="30">
      <c r="B1192" s="653" t="s">
        <v>337</v>
      </c>
      <c r="C1192" s="653"/>
      <c r="D1192" s="658" t="s">
        <v>3977</v>
      </c>
      <c r="E1192" s="657">
        <v>41290</v>
      </c>
      <c r="F1192" s="657"/>
      <c r="G1192" s="654" t="s">
        <v>338</v>
      </c>
      <c r="H1192" s="654"/>
      <c r="I1192" s="31"/>
      <c r="J1192" s="1233"/>
      <c r="K1192" s="31"/>
      <c r="L1192" s="21">
        <v>1000</v>
      </c>
      <c r="M1192" s="21"/>
      <c r="N1192" s="21">
        <f t="shared" si="239"/>
        <v>1000</v>
      </c>
      <c r="O1192" s="283"/>
      <c r="P1192" s="647" t="s">
        <v>110</v>
      </c>
      <c r="Q1192" s="1136" t="s">
        <v>105</v>
      </c>
      <c r="R1192" s="963">
        <v>1000</v>
      </c>
      <c r="S1192" s="963">
        <v>1000</v>
      </c>
      <c r="T1192" s="966"/>
      <c r="U1192" s="654"/>
      <c r="V1192" s="523" t="s">
        <v>307</v>
      </c>
    </row>
    <row r="1193" spans="2:22" ht="30">
      <c r="B1193" s="653" t="s">
        <v>337</v>
      </c>
      <c r="C1193" s="653"/>
      <c r="D1193" s="658" t="s">
        <v>3979</v>
      </c>
      <c r="E1193" s="656">
        <v>41291</v>
      </c>
      <c r="F1193" s="656"/>
      <c r="G1193" s="654" t="s">
        <v>3978</v>
      </c>
      <c r="H1193" s="654"/>
      <c r="I1193" s="31"/>
      <c r="J1193" s="1233"/>
      <c r="K1193" s="31"/>
      <c r="L1193" s="21">
        <v>3750</v>
      </c>
      <c r="M1193" s="21"/>
      <c r="N1193" s="21">
        <f t="shared" si="239"/>
        <v>3750</v>
      </c>
      <c r="O1193" s="283"/>
      <c r="P1193" s="647" t="s">
        <v>110</v>
      </c>
      <c r="Q1193" s="1136" t="s">
        <v>105</v>
      </c>
      <c r="R1193" s="963">
        <v>3750</v>
      </c>
      <c r="S1193" s="963">
        <v>3750</v>
      </c>
      <c r="T1193" s="966"/>
      <c r="U1193" s="654"/>
      <c r="V1193" s="523" t="s">
        <v>307</v>
      </c>
    </row>
    <row r="1194" spans="2:22" ht="30">
      <c r="B1194" s="653" t="s">
        <v>331</v>
      </c>
      <c r="C1194" s="653"/>
      <c r="D1194" s="658" t="s">
        <v>3980</v>
      </c>
      <c r="E1194" s="656">
        <v>41295</v>
      </c>
      <c r="F1194" s="656"/>
      <c r="G1194" s="654" t="s">
        <v>1965</v>
      </c>
      <c r="H1194" s="654"/>
      <c r="I1194" s="31"/>
      <c r="J1194" s="1233"/>
      <c r="K1194" s="31"/>
      <c r="L1194" s="21">
        <v>25000</v>
      </c>
      <c r="M1194" s="21"/>
      <c r="N1194" s="21">
        <f t="shared" si="239"/>
        <v>25000</v>
      </c>
      <c r="O1194" s="283"/>
      <c r="P1194" s="647" t="s">
        <v>110</v>
      </c>
      <c r="Q1194" s="1136" t="s">
        <v>105</v>
      </c>
      <c r="R1194" s="963">
        <v>25000</v>
      </c>
      <c r="S1194" s="963">
        <v>25000</v>
      </c>
      <c r="T1194" s="966"/>
      <c r="U1194" s="654"/>
      <c r="V1194" s="523" t="s">
        <v>307</v>
      </c>
    </row>
    <row r="1195" spans="2:22" ht="30">
      <c r="B1195" s="653" t="s">
        <v>314</v>
      </c>
      <c r="C1195" s="653"/>
      <c r="D1195" s="658" t="s">
        <v>3981</v>
      </c>
      <c r="E1195" s="656">
        <v>41295</v>
      </c>
      <c r="F1195" s="656"/>
      <c r="G1195" s="654" t="s">
        <v>3505</v>
      </c>
      <c r="H1195" s="654"/>
      <c r="I1195" s="31"/>
      <c r="J1195" s="1233"/>
      <c r="K1195" s="31"/>
      <c r="L1195" s="21">
        <v>3360</v>
      </c>
      <c r="M1195" s="21"/>
      <c r="N1195" s="21">
        <f t="shared" si="239"/>
        <v>3360</v>
      </c>
      <c r="O1195" s="283"/>
      <c r="P1195" s="647" t="s">
        <v>110</v>
      </c>
      <c r="Q1195" s="1136" t="s">
        <v>105</v>
      </c>
      <c r="R1195" s="963">
        <v>3360</v>
      </c>
      <c r="S1195" s="963">
        <v>3360</v>
      </c>
      <c r="T1195" s="966"/>
      <c r="U1195" s="654"/>
      <c r="V1195" s="523" t="s">
        <v>307</v>
      </c>
    </row>
    <row r="1196" spans="2:22" ht="30">
      <c r="B1196" s="653" t="s">
        <v>314</v>
      </c>
      <c r="C1196" s="653"/>
      <c r="D1196" s="658" t="s">
        <v>3983</v>
      </c>
      <c r="E1196" s="656">
        <v>41295</v>
      </c>
      <c r="F1196" s="656"/>
      <c r="G1196" s="654" t="s">
        <v>3982</v>
      </c>
      <c r="H1196" s="654"/>
      <c r="I1196" s="31"/>
      <c r="J1196" s="1233"/>
      <c r="K1196" s="31"/>
      <c r="L1196" s="21">
        <v>1500</v>
      </c>
      <c r="M1196" s="21"/>
      <c r="N1196" s="21">
        <f t="shared" si="239"/>
        <v>1500</v>
      </c>
      <c r="O1196" s="283"/>
      <c r="P1196" s="647" t="s">
        <v>110</v>
      </c>
      <c r="Q1196" s="1136" t="s">
        <v>105</v>
      </c>
      <c r="R1196" s="963">
        <f>SUM(R1197:R1198)</f>
        <v>500</v>
      </c>
      <c r="S1196" s="963">
        <f>SUM(S1197:S1198)</f>
        <v>500</v>
      </c>
      <c r="T1196" s="966"/>
      <c r="U1196" s="654"/>
      <c r="V1196" s="523" t="s">
        <v>307</v>
      </c>
    </row>
    <row r="1197" spans="2:22">
      <c r="B1197" s="654" t="s">
        <v>5704</v>
      </c>
      <c r="C1197" s="653"/>
      <c r="D1197" s="658"/>
      <c r="E1197" s="656"/>
      <c r="F1197" s="656"/>
      <c r="G1197" s="654"/>
      <c r="H1197" s="654"/>
      <c r="I1197" s="31"/>
      <c r="J1197" s="1233"/>
      <c r="K1197" s="31"/>
      <c r="L1197" s="795"/>
      <c r="M1197" s="21"/>
      <c r="N1197" s="21">
        <f t="shared" si="239"/>
        <v>0</v>
      </c>
      <c r="O1197" s="283"/>
      <c r="P1197" s="647"/>
      <c r="Q1197" s="1136"/>
      <c r="R1197" s="35">
        <v>500</v>
      </c>
      <c r="S1197" s="35">
        <v>500</v>
      </c>
      <c r="T1197" s="966"/>
      <c r="U1197" s="654"/>
      <c r="V1197" s="523"/>
    </row>
    <row r="1198" spans="2:22">
      <c r="B1198" s="654" t="s">
        <v>5705</v>
      </c>
      <c r="C1198" s="653"/>
      <c r="D1198" s="658"/>
      <c r="E1198" s="656"/>
      <c r="F1198" s="656"/>
      <c r="G1198" s="654"/>
      <c r="H1198" s="654"/>
      <c r="I1198" s="31"/>
      <c r="J1198" s="1233"/>
      <c r="K1198" s="31"/>
      <c r="L1198" s="21"/>
      <c r="M1198" s="21"/>
      <c r="N1198" s="21">
        <f t="shared" si="239"/>
        <v>0</v>
      </c>
      <c r="O1198" s="283"/>
      <c r="P1198" s="647"/>
      <c r="Q1198" s="1136"/>
      <c r="R1198" s="963"/>
      <c r="S1198" s="963"/>
      <c r="T1198" s="966"/>
      <c r="U1198" s="654"/>
      <c r="V1198" s="523"/>
    </row>
    <row r="1199" spans="2:22" ht="30">
      <c r="B1199" s="653" t="s">
        <v>319</v>
      </c>
      <c r="C1199" s="653"/>
      <c r="D1199" s="658" t="s">
        <v>3984</v>
      </c>
      <c r="E1199" s="656">
        <v>41295</v>
      </c>
      <c r="F1199" s="656"/>
      <c r="G1199" s="654" t="s">
        <v>3940</v>
      </c>
      <c r="H1199" s="654"/>
      <c r="I1199" s="31"/>
      <c r="J1199" s="1233"/>
      <c r="K1199" s="31"/>
      <c r="L1199" s="21">
        <v>3800</v>
      </c>
      <c r="M1199" s="21"/>
      <c r="N1199" s="21">
        <f t="shared" si="239"/>
        <v>3800</v>
      </c>
      <c r="O1199" s="283"/>
      <c r="P1199" s="647" t="s">
        <v>110</v>
      </c>
      <c r="Q1199" s="1136" t="s">
        <v>105</v>
      </c>
      <c r="R1199" s="963">
        <v>3800</v>
      </c>
      <c r="S1199" s="963">
        <v>3800</v>
      </c>
      <c r="T1199" s="966"/>
      <c r="U1199" s="654"/>
      <c r="V1199" s="523" t="s">
        <v>307</v>
      </c>
    </row>
    <row r="1200" spans="2:22" ht="30">
      <c r="B1200" s="653" t="s">
        <v>311</v>
      </c>
      <c r="C1200" s="653"/>
      <c r="D1200" s="658" t="s">
        <v>3986</v>
      </c>
      <c r="E1200" s="656">
        <v>41295</v>
      </c>
      <c r="F1200" s="656"/>
      <c r="G1200" s="654" t="s">
        <v>3985</v>
      </c>
      <c r="H1200" s="654"/>
      <c r="I1200" s="31"/>
      <c r="J1200" s="1233"/>
      <c r="K1200" s="31"/>
      <c r="L1200" s="21">
        <v>7164</v>
      </c>
      <c r="M1200" s="21"/>
      <c r="N1200" s="21">
        <f t="shared" si="239"/>
        <v>7164</v>
      </c>
      <c r="O1200" s="283"/>
      <c r="P1200" s="647" t="s">
        <v>110</v>
      </c>
      <c r="Q1200" s="1136" t="s">
        <v>105</v>
      </c>
      <c r="R1200" s="36">
        <f>SUM(R1201:R1202)</f>
        <v>7164</v>
      </c>
      <c r="S1200" s="36">
        <f>SUM(S1201:S1202)</f>
        <v>7164</v>
      </c>
      <c r="T1200" s="966"/>
      <c r="U1200" s="654"/>
      <c r="V1200" s="523" t="s">
        <v>307</v>
      </c>
    </row>
    <row r="1201" spans="2:22">
      <c r="B1201" s="653"/>
      <c r="C1201" s="653"/>
      <c r="D1201" s="658"/>
      <c r="E1201" s="656"/>
      <c r="F1201" s="656"/>
      <c r="G1201" s="654"/>
      <c r="H1201" s="654"/>
      <c r="I1201" s="31"/>
      <c r="J1201" s="1233"/>
      <c r="K1201" s="31"/>
      <c r="L1201" s="795"/>
      <c r="M1201" s="21"/>
      <c r="N1201" s="21">
        <f>SUM(L1201:M1201)</f>
        <v>0</v>
      </c>
      <c r="O1201" s="283"/>
      <c r="P1201" s="647"/>
      <c r="Q1201" s="1136"/>
      <c r="R1201" s="35">
        <v>4140</v>
      </c>
      <c r="S1201" s="35">
        <v>4140</v>
      </c>
      <c r="T1201" s="966" t="s">
        <v>5481</v>
      </c>
      <c r="U1201" s="654"/>
      <c r="V1201" s="523"/>
    </row>
    <row r="1202" spans="2:22" ht="45">
      <c r="B1202" s="653"/>
      <c r="C1202" s="653"/>
      <c r="D1202" s="658"/>
      <c r="E1202" s="656"/>
      <c r="F1202" s="656"/>
      <c r="G1202" s="654"/>
      <c r="H1202" s="654"/>
      <c r="I1202" s="31"/>
      <c r="J1202" s="1233"/>
      <c r="K1202" s="31"/>
      <c r="L1202" s="795"/>
      <c r="M1202" s="21"/>
      <c r="N1202" s="21">
        <f>SUM(L1202:M1202)</f>
        <v>0</v>
      </c>
      <c r="O1202" s="283"/>
      <c r="P1202" s="647"/>
      <c r="Q1202" s="1136"/>
      <c r="R1202" s="35">
        <v>3024</v>
      </c>
      <c r="S1202" s="35">
        <v>3024</v>
      </c>
      <c r="T1202" s="966" t="s">
        <v>5482</v>
      </c>
      <c r="U1202" s="654"/>
      <c r="V1202" s="523"/>
    </row>
    <row r="1203" spans="2:22" ht="30">
      <c r="B1203" s="653" t="s">
        <v>343</v>
      </c>
      <c r="C1203" s="653"/>
      <c r="D1203" s="658" t="s">
        <v>3988</v>
      </c>
      <c r="E1203" s="656">
        <v>41295</v>
      </c>
      <c r="F1203" s="656"/>
      <c r="G1203" s="654" t="s">
        <v>3987</v>
      </c>
      <c r="H1203" s="654"/>
      <c r="I1203" s="31"/>
      <c r="J1203" s="1233"/>
      <c r="K1203" s="31"/>
      <c r="L1203" s="21">
        <v>1000</v>
      </c>
      <c r="M1203" s="21"/>
      <c r="N1203" s="21">
        <f t="shared" si="239"/>
        <v>1000</v>
      </c>
      <c r="O1203" s="283"/>
      <c r="P1203" s="647" t="s">
        <v>110</v>
      </c>
      <c r="Q1203" s="1136" t="s">
        <v>105</v>
      </c>
      <c r="R1203" s="963">
        <v>1000</v>
      </c>
      <c r="S1203" s="963">
        <v>1000</v>
      </c>
      <c r="T1203" s="966"/>
      <c r="U1203" s="654"/>
      <c r="V1203" s="523" t="s">
        <v>307</v>
      </c>
    </row>
    <row r="1204" spans="2:22" ht="45">
      <c r="B1204" s="653" t="s">
        <v>321</v>
      </c>
      <c r="C1204" s="653"/>
      <c r="D1204" s="658" t="s">
        <v>3990</v>
      </c>
      <c r="E1204" s="656">
        <v>41295</v>
      </c>
      <c r="F1204" s="656"/>
      <c r="G1204" s="654" t="s">
        <v>3989</v>
      </c>
      <c r="H1204" s="654"/>
      <c r="I1204" s="31"/>
      <c r="J1204" s="1233"/>
      <c r="K1204" s="31"/>
      <c r="L1204" s="21">
        <v>1120</v>
      </c>
      <c r="M1204" s="21"/>
      <c r="N1204" s="21">
        <f t="shared" si="239"/>
        <v>1120</v>
      </c>
      <c r="O1204" s="283"/>
      <c r="P1204" s="647" t="s">
        <v>110</v>
      </c>
      <c r="Q1204" s="1136" t="s">
        <v>105</v>
      </c>
      <c r="R1204" s="963">
        <v>1120</v>
      </c>
      <c r="S1204" s="963">
        <v>1120</v>
      </c>
      <c r="T1204" s="1090" t="s">
        <v>6464</v>
      </c>
      <c r="U1204" s="654"/>
      <c r="V1204" s="523" t="s">
        <v>307</v>
      </c>
    </row>
    <row r="1205" spans="2:22" ht="30">
      <c r="B1205" s="653" t="s">
        <v>321</v>
      </c>
      <c r="C1205" s="653"/>
      <c r="D1205" s="658" t="s">
        <v>3992</v>
      </c>
      <c r="E1205" s="656">
        <v>41295</v>
      </c>
      <c r="F1205" s="656"/>
      <c r="G1205" s="654" t="s">
        <v>3991</v>
      </c>
      <c r="H1205" s="654"/>
      <c r="I1205" s="31"/>
      <c r="J1205" s="1233"/>
      <c r="K1205" s="31"/>
      <c r="L1205" s="21">
        <v>500</v>
      </c>
      <c r="M1205" s="21"/>
      <c r="N1205" s="21">
        <f t="shared" si="239"/>
        <v>500</v>
      </c>
      <c r="O1205" s="283"/>
      <c r="P1205" s="647" t="s">
        <v>110</v>
      </c>
      <c r="Q1205" s="1136" t="s">
        <v>105</v>
      </c>
      <c r="R1205" s="963">
        <v>500</v>
      </c>
      <c r="S1205" s="963">
        <v>500</v>
      </c>
      <c r="T1205" s="654" t="s">
        <v>6465</v>
      </c>
      <c r="U1205" s="654"/>
      <c r="V1205" s="523" t="s">
        <v>307</v>
      </c>
    </row>
    <row r="1206" spans="2:22" ht="90">
      <c r="B1206" s="653" t="s">
        <v>308</v>
      </c>
      <c r="C1206" s="653"/>
      <c r="D1206" s="658" t="s">
        <v>3994</v>
      </c>
      <c r="E1206" s="656">
        <v>41295</v>
      </c>
      <c r="F1206" s="656"/>
      <c r="G1206" s="654" t="s">
        <v>3993</v>
      </c>
      <c r="H1206" s="654"/>
      <c r="I1206" s="31"/>
      <c r="J1206" s="1233"/>
      <c r="K1206" s="31"/>
      <c r="L1206" s="21">
        <v>750</v>
      </c>
      <c r="M1206" s="21"/>
      <c r="N1206" s="21">
        <f t="shared" si="239"/>
        <v>750</v>
      </c>
      <c r="O1206" s="283"/>
      <c r="P1206" s="647" t="s">
        <v>110</v>
      </c>
      <c r="Q1206" s="1136" t="s">
        <v>105</v>
      </c>
      <c r="R1206" s="963">
        <v>750</v>
      </c>
      <c r="S1206" s="963">
        <v>750</v>
      </c>
      <c r="T1206" s="961" t="s">
        <v>4646</v>
      </c>
      <c r="U1206" s="654"/>
      <c r="V1206" s="523" t="s">
        <v>307</v>
      </c>
    </row>
    <row r="1207" spans="2:22" ht="90">
      <c r="B1207" s="653" t="s">
        <v>308</v>
      </c>
      <c r="C1207" s="653"/>
      <c r="D1207" s="658" t="s">
        <v>3996</v>
      </c>
      <c r="E1207" s="656">
        <v>41295</v>
      </c>
      <c r="F1207" s="656"/>
      <c r="G1207" s="654" t="s">
        <v>3995</v>
      </c>
      <c r="H1207" s="654"/>
      <c r="I1207" s="31"/>
      <c r="J1207" s="1233"/>
      <c r="K1207" s="31"/>
      <c r="L1207" s="21">
        <v>750</v>
      </c>
      <c r="M1207" s="21"/>
      <c r="N1207" s="21">
        <f t="shared" si="239"/>
        <v>750</v>
      </c>
      <c r="O1207" s="283"/>
      <c r="P1207" s="647" t="s">
        <v>110</v>
      </c>
      <c r="Q1207" s="1136" t="s">
        <v>105</v>
      </c>
      <c r="R1207" s="963">
        <v>750</v>
      </c>
      <c r="S1207" s="963">
        <v>750</v>
      </c>
      <c r="T1207" s="961" t="s">
        <v>4646</v>
      </c>
      <c r="U1207" s="654"/>
      <c r="V1207" s="523" t="s">
        <v>307</v>
      </c>
    </row>
    <row r="1208" spans="2:22" ht="90">
      <c r="B1208" s="653" t="s">
        <v>308</v>
      </c>
      <c r="C1208" s="653"/>
      <c r="D1208" s="658" t="s">
        <v>3998</v>
      </c>
      <c r="E1208" s="656">
        <v>41295</v>
      </c>
      <c r="F1208" s="656"/>
      <c r="G1208" s="654" t="s">
        <v>3997</v>
      </c>
      <c r="H1208" s="654"/>
      <c r="I1208" s="31"/>
      <c r="J1208" s="1233"/>
      <c r="K1208" s="31"/>
      <c r="L1208" s="21">
        <v>1250</v>
      </c>
      <c r="M1208" s="21"/>
      <c r="N1208" s="21">
        <f t="shared" si="239"/>
        <v>1250</v>
      </c>
      <c r="O1208" s="283"/>
      <c r="P1208" s="647" t="s">
        <v>110</v>
      </c>
      <c r="Q1208" s="1136" t="s">
        <v>105</v>
      </c>
      <c r="R1208" s="963">
        <v>1250</v>
      </c>
      <c r="S1208" s="963">
        <v>1250</v>
      </c>
      <c r="T1208" s="961" t="s">
        <v>4646</v>
      </c>
      <c r="U1208" s="654"/>
      <c r="V1208" s="523" t="s">
        <v>307</v>
      </c>
    </row>
    <row r="1209" spans="2:22" ht="90">
      <c r="B1209" s="653" t="s">
        <v>308</v>
      </c>
      <c r="C1209" s="653"/>
      <c r="D1209" s="658" t="s">
        <v>4000</v>
      </c>
      <c r="E1209" s="656">
        <v>41295</v>
      </c>
      <c r="F1209" s="656"/>
      <c r="G1209" s="654" t="s">
        <v>3999</v>
      </c>
      <c r="H1209" s="654"/>
      <c r="I1209" s="31"/>
      <c r="J1209" s="1233"/>
      <c r="K1209" s="31"/>
      <c r="L1209" s="21">
        <v>1000</v>
      </c>
      <c r="M1209" s="21"/>
      <c r="N1209" s="21">
        <f t="shared" si="239"/>
        <v>1000</v>
      </c>
      <c r="O1209" s="283"/>
      <c r="P1209" s="647" t="s">
        <v>110</v>
      </c>
      <c r="Q1209" s="1136" t="s">
        <v>105</v>
      </c>
      <c r="R1209" s="963">
        <v>1000</v>
      </c>
      <c r="S1209" s="963">
        <v>1000</v>
      </c>
      <c r="T1209" s="961" t="s">
        <v>4646</v>
      </c>
      <c r="U1209" s="654"/>
      <c r="V1209" s="523" t="s">
        <v>307</v>
      </c>
    </row>
    <row r="1210" spans="2:22" ht="90">
      <c r="B1210" s="653" t="s">
        <v>308</v>
      </c>
      <c r="C1210" s="653"/>
      <c r="D1210" s="658" t="s">
        <v>4002</v>
      </c>
      <c r="E1210" s="656">
        <v>41295</v>
      </c>
      <c r="F1210" s="656"/>
      <c r="G1210" s="654" t="s">
        <v>4001</v>
      </c>
      <c r="H1210" s="654"/>
      <c r="I1210" s="31"/>
      <c r="J1210" s="1233"/>
      <c r="K1210" s="31"/>
      <c r="L1210" s="21">
        <v>500</v>
      </c>
      <c r="M1210" s="21"/>
      <c r="N1210" s="21">
        <f t="shared" si="239"/>
        <v>500</v>
      </c>
      <c r="O1210" s="283"/>
      <c r="P1210" s="647" t="s">
        <v>110</v>
      </c>
      <c r="Q1210" s="1136" t="s">
        <v>105</v>
      </c>
      <c r="R1210" s="963">
        <v>500</v>
      </c>
      <c r="S1210" s="963">
        <v>500</v>
      </c>
      <c r="T1210" s="961" t="s">
        <v>4646</v>
      </c>
      <c r="U1210" s="654"/>
      <c r="V1210" s="523" t="s">
        <v>307</v>
      </c>
    </row>
    <row r="1211" spans="2:22" ht="90">
      <c r="B1211" s="653" t="s">
        <v>308</v>
      </c>
      <c r="C1211" s="653"/>
      <c r="D1211" s="658" t="s">
        <v>4004</v>
      </c>
      <c r="E1211" s="656">
        <v>41295</v>
      </c>
      <c r="F1211" s="656"/>
      <c r="G1211" s="654" t="s">
        <v>4003</v>
      </c>
      <c r="H1211" s="654"/>
      <c r="I1211" s="31"/>
      <c r="J1211" s="1233"/>
      <c r="K1211" s="31"/>
      <c r="L1211" s="21">
        <v>750</v>
      </c>
      <c r="M1211" s="21"/>
      <c r="N1211" s="21">
        <f t="shared" si="239"/>
        <v>750</v>
      </c>
      <c r="O1211" s="283"/>
      <c r="P1211" s="647" t="s">
        <v>110</v>
      </c>
      <c r="Q1211" s="1136" t="s">
        <v>105</v>
      </c>
      <c r="R1211" s="963">
        <v>750</v>
      </c>
      <c r="S1211" s="963">
        <v>750</v>
      </c>
      <c r="T1211" s="961" t="s">
        <v>4646</v>
      </c>
      <c r="U1211" s="654"/>
      <c r="V1211" s="523" t="s">
        <v>307</v>
      </c>
    </row>
    <row r="1212" spans="2:22" ht="90">
      <c r="B1212" s="653" t="s">
        <v>308</v>
      </c>
      <c r="C1212" s="653"/>
      <c r="D1212" s="658" t="s">
        <v>4006</v>
      </c>
      <c r="E1212" s="656">
        <v>41295</v>
      </c>
      <c r="F1212" s="656"/>
      <c r="G1212" s="654" t="s">
        <v>4005</v>
      </c>
      <c r="H1212" s="654"/>
      <c r="I1212" s="31"/>
      <c r="J1212" s="1233"/>
      <c r="K1212" s="31"/>
      <c r="L1212" s="21">
        <v>500</v>
      </c>
      <c r="M1212" s="21"/>
      <c r="N1212" s="21">
        <f t="shared" si="239"/>
        <v>500</v>
      </c>
      <c r="O1212" s="283"/>
      <c r="P1212" s="647" t="s">
        <v>110</v>
      </c>
      <c r="Q1212" s="1136" t="s">
        <v>105</v>
      </c>
      <c r="R1212" s="963">
        <v>500</v>
      </c>
      <c r="S1212" s="963">
        <v>500</v>
      </c>
      <c r="T1212" s="961" t="s">
        <v>4646</v>
      </c>
      <c r="U1212" s="654"/>
      <c r="V1212" s="523" t="s">
        <v>307</v>
      </c>
    </row>
    <row r="1213" spans="2:22" ht="90">
      <c r="B1213" s="653" t="s">
        <v>308</v>
      </c>
      <c r="C1213" s="653"/>
      <c r="D1213" s="658" t="s">
        <v>4008</v>
      </c>
      <c r="E1213" s="656">
        <v>41295</v>
      </c>
      <c r="F1213" s="656"/>
      <c r="G1213" s="654" t="s">
        <v>4007</v>
      </c>
      <c r="H1213" s="654"/>
      <c r="I1213" s="31"/>
      <c r="J1213" s="1233"/>
      <c r="K1213" s="31"/>
      <c r="L1213" s="21">
        <v>1000</v>
      </c>
      <c r="M1213" s="21"/>
      <c r="N1213" s="21">
        <f t="shared" si="239"/>
        <v>1000</v>
      </c>
      <c r="O1213" s="283"/>
      <c r="P1213" s="647" t="s">
        <v>110</v>
      </c>
      <c r="Q1213" s="1136" t="s">
        <v>105</v>
      </c>
      <c r="R1213" s="963">
        <v>1000</v>
      </c>
      <c r="S1213" s="963">
        <v>1000</v>
      </c>
      <c r="T1213" s="961" t="s">
        <v>4646</v>
      </c>
      <c r="U1213" s="654"/>
      <c r="V1213" s="523" t="s">
        <v>307</v>
      </c>
    </row>
    <row r="1214" spans="2:22" ht="90">
      <c r="B1214" s="653" t="s">
        <v>308</v>
      </c>
      <c r="C1214" s="653"/>
      <c r="D1214" s="658" t="s">
        <v>4010</v>
      </c>
      <c r="E1214" s="656">
        <v>41295</v>
      </c>
      <c r="F1214" s="656"/>
      <c r="G1214" s="654" t="s">
        <v>4009</v>
      </c>
      <c r="H1214" s="654"/>
      <c r="I1214" s="31"/>
      <c r="J1214" s="1233"/>
      <c r="K1214" s="31"/>
      <c r="L1214" s="21">
        <v>1000</v>
      </c>
      <c r="M1214" s="21"/>
      <c r="N1214" s="21">
        <f t="shared" si="239"/>
        <v>1000</v>
      </c>
      <c r="O1214" s="283"/>
      <c r="P1214" s="647" t="s">
        <v>110</v>
      </c>
      <c r="Q1214" s="1136" t="s">
        <v>105</v>
      </c>
      <c r="R1214" s="963">
        <v>1000</v>
      </c>
      <c r="S1214" s="963">
        <v>1000</v>
      </c>
      <c r="T1214" s="961" t="s">
        <v>4646</v>
      </c>
      <c r="U1214" s="654"/>
      <c r="V1214" s="523" t="s">
        <v>307</v>
      </c>
    </row>
    <row r="1215" spans="2:22" ht="90">
      <c r="B1215" s="653" t="s">
        <v>308</v>
      </c>
      <c r="C1215" s="653"/>
      <c r="D1215" s="658" t="s">
        <v>4012</v>
      </c>
      <c r="E1215" s="656">
        <v>41295</v>
      </c>
      <c r="F1215" s="656"/>
      <c r="G1215" s="654" t="s">
        <v>4011</v>
      </c>
      <c r="H1215" s="654"/>
      <c r="I1215" s="31"/>
      <c r="J1215" s="1233"/>
      <c r="K1215" s="31"/>
      <c r="L1215" s="21">
        <v>500</v>
      </c>
      <c r="M1215" s="21"/>
      <c r="N1215" s="21">
        <f t="shared" si="239"/>
        <v>500</v>
      </c>
      <c r="O1215" s="283"/>
      <c r="P1215" s="647" t="s">
        <v>110</v>
      </c>
      <c r="Q1215" s="1136" t="s">
        <v>105</v>
      </c>
      <c r="R1215" s="963">
        <v>500</v>
      </c>
      <c r="S1215" s="963">
        <v>500</v>
      </c>
      <c r="T1215" s="961" t="s">
        <v>4646</v>
      </c>
      <c r="U1215" s="654"/>
      <c r="V1215" s="523" t="s">
        <v>307</v>
      </c>
    </row>
    <row r="1216" spans="2:22" ht="90">
      <c r="B1216" s="653" t="s">
        <v>308</v>
      </c>
      <c r="C1216" s="653"/>
      <c r="D1216" s="658" t="s">
        <v>4014</v>
      </c>
      <c r="E1216" s="656">
        <v>41295</v>
      </c>
      <c r="F1216" s="656"/>
      <c r="G1216" s="654" t="s">
        <v>4013</v>
      </c>
      <c r="H1216" s="654"/>
      <c r="I1216" s="31"/>
      <c r="J1216" s="1233"/>
      <c r="K1216" s="31"/>
      <c r="L1216" s="21">
        <v>500</v>
      </c>
      <c r="M1216" s="21"/>
      <c r="N1216" s="21">
        <f t="shared" si="239"/>
        <v>500</v>
      </c>
      <c r="O1216" s="283"/>
      <c r="P1216" s="647" t="s">
        <v>110</v>
      </c>
      <c r="Q1216" s="1136" t="s">
        <v>105</v>
      </c>
      <c r="R1216" s="963">
        <v>500</v>
      </c>
      <c r="S1216" s="963">
        <v>500</v>
      </c>
      <c r="T1216" s="961" t="s">
        <v>4646</v>
      </c>
      <c r="U1216" s="654"/>
      <c r="V1216" s="523" t="s">
        <v>307</v>
      </c>
    </row>
    <row r="1217" spans="2:22" ht="90">
      <c r="B1217" s="653" t="s">
        <v>308</v>
      </c>
      <c r="C1217" s="653"/>
      <c r="D1217" s="658" t="s">
        <v>4016</v>
      </c>
      <c r="E1217" s="656">
        <v>41295</v>
      </c>
      <c r="F1217" s="656"/>
      <c r="G1217" s="654" t="s">
        <v>4015</v>
      </c>
      <c r="H1217" s="654"/>
      <c r="I1217" s="31"/>
      <c r="J1217" s="1233"/>
      <c r="K1217" s="31"/>
      <c r="L1217" s="21">
        <v>500</v>
      </c>
      <c r="M1217" s="21"/>
      <c r="N1217" s="21">
        <f t="shared" si="239"/>
        <v>500</v>
      </c>
      <c r="O1217" s="283"/>
      <c r="P1217" s="647" t="s">
        <v>110</v>
      </c>
      <c r="Q1217" s="1136" t="s">
        <v>105</v>
      </c>
      <c r="R1217" s="963">
        <v>500</v>
      </c>
      <c r="S1217" s="963">
        <v>500</v>
      </c>
      <c r="T1217" s="961" t="s">
        <v>4646</v>
      </c>
      <c r="U1217" s="654"/>
      <c r="V1217" s="523" t="s">
        <v>307</v>
      </c>
    </row>
    <row r="1218" spans="2:22" ht="30">
      <c r="B1218" s="653" t="s">
        <v>380</v>
      </c>
      <c r="C1218" s="653"/>
      <c r="D1218" s="658" t="s">
        <v>4017</v>
      </c>
      <c r="E1218" s="657">
        <v>41296</v>
      </c>
      <c r="F1218" s="657"/>
      <c r="G1218" s="654" t="s">
        <v>3908</v>
      </c>
      <c r="H1218" s="654"/>
      <c r="I1218" s="31"/>
      <c r="J1218" s="1233"/>
      <c r="K1218" s="31"/>
      <c r="L1218" s="21">
        <v>5000</v>
      </c>
      <c r="M1218" s="21"/>
      <c r="N1218" s="21">
        <f t="shared" si="239"/>
        <v>5000</v>
      </c>
      <c r="O1218" s="283"/>
      <c r="P1218" s="647" t="s">
        <v>110</v>
      </c>
      <c r="Q1218" s="1136" t="s">
        <v>105</v>
      </c>
      <c r="R1218" s="963">
        <v>5000</v>
      </c>
      <c r="S1218" s="963">
        <v>5000</v>
      </c>
      <c r="T1218" s="966">
        <v>12</v>
      </c>
      <c r="U1218" s="654"/>
      <c r="V1218" s="523" t="s">
        <v>307</v>
      </c>
    </row>
    <row r="1219" spans="2:22" ht="30">
      <c r="B1219" s="653" t="s">
        <v>314</v>
      </c>
      <c r="C1219" s="653"/>
      <c r="D1219" s="658" t="s">
        <v>4018</v>
      </c>
      <c r="E1219" s="656">
        <v>41299</v>
      </c>
      <c r="F1219" s="656"/>
      <c r="G1219" s="654" t="s">
        <v>3776</v>
      </c>
      <c r="H1219" s="654"/>
      <c r="I1219" s="31"/>
      <c r="J1219" s="1233"/>
      <c r="K1219" s="31"/>
      <c r="L1219" s="21">
        <v>30500</v>
      </c>
      <c r="M1219" s="21"/>
      <c r="N1219" s="21">
        <f t="shared" si="239"/>
        <v>30500</v>
      </c>
      <c r="O1219" s="283"/>
      <c r="P1219" s="647" t="s">
        <v>110</v>
      </c>
      <c r="Q1219" s="1136" t="s">
        <v>105</v>
      </c>
      <c r="R1219" s="963">
        <v>30500</v>
      </c>
      <c r="S1219" s="963">
        <v>30500</v>
      </c>
      <c r="T1219" s="966"/>
      <c r="U1219" s="654"/>
      <c r="V1219" s="523" t="s">
        <v>307</v>
      </c>
    </row>
    <row r="1220" spans="2:22" ht="30">
      <c r="B1220" s="653" t="s">
        <v>314</v>
      </c>
      <c r="C1220" s="653"/>
      <c r="D1220" s="658" t="s">
        <v>4019</v>
      </c>
      <c r="E1220" s="656">
        <v>41299</v>
      </c>
      <c r="F1220" s="656"/>
      <c r="G1220" s="654" t="s">
        <v>2632</v>
      </c>
      <c r="H1220" s="654"/>
      <c r="I1220" s="31"/>
      <c r="J1220" s="1233"/>
      <c r="K1220" s="31"/>
      <c r="L1220" s="21">
        <f>24058400/1000</f>
        <v>24058.400000000001</v>
      </c>
      <c r="M1220" s="21"/>
      <c r="N1220" s="21">
        <f t="shared" si="239"/>
        <v>24058.400000000001</v>
      </c>
      <c r="O1220" s="283"/>
      <c r="P1220" s="647" t="s">
        <v>110</v>
      </c>
      <c r="Q1220" s="1136" t="s">
        <v>105</v>
      </c>
      <c r="R1220" s="963">
        <f>24058400/1000</f>
        <v>24058.400000000001</v>
      </c>
      <c r="S1220" s="963">
        <f>24058400/1000</f>
        <v>24058.400000000001</v>
      </c>
      <c r="T1220" s="966"/>
      <c r="U1220" s="654"/>
      <c r="V1220" s="523" t="s">
        <v>307</v>
      </c>
    </row>
    <row r="1221" spans="2:22" ht="30">
      <c r="B1221" s="653" t="s">
        <v>331</v>
      </c>
      <c r="C1221" s="653"/>
      <c r="D1221" s="658" t="s">
        <v>4021</v>
      </c>
      <c r="E1221" s="656">
        <v>41299</v>
      </c>
      <c r="F1221" s="656"/>
      <c r="G1221" s="654" t="s">
        <v>4020</v>
      </c>
      <c r="H1221" s="654"/>
      <c r="I1221" s="31"/>
      <c r="J1221" s="1233"/>
      <c r="K1221" s="31"/>
      <c r="L1221" s="21">
        <v>3000</v>
      </c>
      <c r="M1221" s="21"/>
      <c r="N1221" s="21">
        <f t="shared" si="239"/>
        <v>3000</v>
      </c>
      <c r="O1221" s="283"/>
      <c r="P1221" s="647" t="s">
        <v>110</v>
      </c>
      <c r="Q1221" s="1136" t="s">
        <v>105</v>
      </c>
      <c r="R1221" s="963">
        <v>3000</v>
      </c>
      <c r="S1221" s="963">
        <v>3000</v>
      </c>
      <c r="T1221" s="966"/>
      <c r="U1221" s="654"/>
      <c r="V1221" s="523" t="s">
        <v>307</v>
      </c>
    </row>
    <row r="1222" spans="2:22" ht="30">
      <c r="B1222" s="653" t="s">
        <v>311</v>
      </c>
      <c r="C1222" s="653"/>
      <c r="D1222" s="658" t="s">
        <v>4022</v>
      </c>
      <c r="E1222" s="656">
        <v>41299</v>
      </c>
      <c r="F1222" s="656"/>
      <c r="G1222" s="654" t="s">
        <v>315</v>
      </c>
      <c r="H1222" s="654"/>
      <c r="I1222" s="31"/>
      <c r="J1222" s="1233"/>
      <c r="K1222" s="31"/>
      <c r="L1222" s="21">
        <v>3000</v>
      </c>
      <c r="M1222" s="21"/>
      <c r="N1222" s="21">
        <f t="shared" si="239"/>
        <v>3000</v>
      </c>
      <c r="O1222" s="283"/>
      <c r="P1222" s="647" t="s">
        <v>110</v>
      </c>
      <c r="Q1222" s="1136" t="s">
        <v>105</v>
      </c>
      <c r="R1222" s="36">
        <f>SUM(R1223:R1224)</f>
        <v>3000</v>
      </c>
      <c r="S1222" s="36">
        <f>SUM(S1223:S1224)</f>
        <v>3000</v>
      </c>
      <c r="T1222" s="1073"/>
      <c r="U1222" s="654"/>
      <c r="V1222" s="523" t="s">
        <v>307</v>
      </c>
    </row>
    <row r="1223" spans="2:22">
      <c r="B1223" s="653" t="s">
        <v>5477</v>
      </c>
      <c r="C1223" s="653"/>
      <c r="D1223" s="658"/>
      <c r="E1223" s="656"/>
      <c r="F1223" s="656"/>
      <c r="G1223" s="654"/>
      <c r="H1223" s="654"/>
      <c r="I1223" s="31"/>
      <c r="J1223" s="1233"/>
      <c r="K1223" s="31"/>
      <c r="L1223" s="21"/>
      <c r="M1223" s="21"/>
      <c r="N1223" s="21"/>
      <c r="O1223" s="283"/>
      <c r="P1223" s="647"/>
      <c r="Q1223" s="1136"/>
      <c r="R1223" s="35">
        <v>2000</v>
      </c>
      <c r="S1223" s="35">
        <v>2000</v>
      </c>
      <c r="T1223" s="1073" t="s">
        <v>6159</v>
      </c>
      <c r="U1223" s="654"/>
      <c r="V1223" s="523"/>
    </row>
    <row r="1224" spans="2:22" ht="30">
      <c r="B1224" s="653" t="s">
        <v>6158</v>
      </c>
      <c r="C1224" s="653"/>
      <c r="D1224" s="658"/>
      <c r="E1224" s="656"/>
      <c r="F1224" s="656"/>
      <c r="G1224" s="654"/>
      <c r="H1224" s="654"/>
      <c r="I1224" s="31"/>
      <c r="J1224" s="1233"/>
      <c r="K1224" s="31"/>
      <c r="L1224" s="21"/>
      <c r="M1224" s="21"/>
      <c r="N1224" s="21"/>
      <c r="O1224" s="283"/>
      <c r="P1224" s="647"/>
      <c r="Q1224" s="1136"/>
      <c r="R1224" s="35">
        <v>1000</v>
      </c>
      <c r="S1224" s="35">
        <v>1000</v>
      </c>
      <c r="T1224" s="1074" t="s">
        <v>6160</v>
      </c>
      <c r="U1224" s="654"/>
      <c r="V1224" s="523"/>
    </row>
    <row r="1225" spans="2:22" ht="30">
      <c r="B1225" s="653" t="s">
        <v>331</v>
      </c>
      <c r="C1225" s="653"/>
      <c r="D1225" s="658" t="s">
        <v>4023</v>
      </c>
      <c r="E1225" s="656">
        <v>41305</v>
      </c>
      <c r="F1225" s="656"/>
      <c r="G1225" s="654" t="s">
        <v>364</v>
      </c>
      <c r="H1225" s="654"/>
      <c r="I1225" s="31"/>
      <c r="J1225" s="1233"/>
      <c r="K1225" s="31"/>
      <c r="L1225" s="21">
        <v>11200</v>
      </c>
      <c r="M1225" s="21"/>
      <c r="N1225" s="21">
        <f t="shared" si="239"/>
        <v>11200</v>
      </c>
      <c r="O1225" s="283"/>
      <c r="P1225" s="647" t="s">
        <v>110</v>
      </c>
      <c r="Q1225" s="1136" t="s">
        <v>105</v>
      </c>
      <c r="R1225" s="963">
        <v>11200</v>
      </c>
      <c r="S1225" s="963">
        <v>11200</v>
      </c>
      <c r="T1225" s="966"/>
      <c r="U1225" s="654"/>
      <c r="V1225" s="523" t="s">
        <v>307</v>
      </c>
    </row>
    <row r="1226" spans="2:22" ht="90">
      <c r="B1226" s="653" t="s">
        <v>308</v>
      </c>
      <c r="C1226" s="653"/>
      <c r="D1226" s="658" t="s">
        <v>4024</v>
      </c>
      <c r="E1226" s="656">
        <v>41305</v>
      </c>
      <c r="F1226" s="656"/>
      <c r="G1226" s="654" t="s">
        <v>3584</v>
      </c>
      <c r="H1226" s="654"/>
      <c r="I1226" s="31"/>
      <c r="J1226" s="1233"/>
      <c r="K1226" s="31"/>
      <c r="L1226" s="21">
        <v>2000</v>
      </c>
      <c r="M1226" s="21"/>
      <c r="N1226" s="21">
        <f t="shared" si="239"/>
        <v>2000</v>
      </c>
      <c r="O1226" s="283"/>
      <c r="P1226" s="647" t="s">
        <v>110</v>
      </c>
      <c r="Q1226" s="1136" t="s">
        <v>105</v>
      </c>
      <c r="R1226" s="963">
        <v>2000</v>
      </c>
      <c r="S1226" s="963">
        <v>2000</v>
      </c>
      <c r="T1226" s="961" t="s">
        <v>4646</v>
      </c>
      <c r="U1226" s="654"/>
      <c r="V1226" s="523" t="s">
        <v>307</v>
      </c>
    </row>
    <row r="1227" spans="2:22" ht="30">
      <c r="B1227" s="653" t="s">
        <v>380</v>
      </c>
      <c r="C1227" s="653"/>
      <c r="D1227" s="658" t="s">
        <v>4025</v>
      </c>
      <c r="E1227" s="656">
        <v>41305</v>
      </c>
      <c r="F1227" s="656"/>
      <c r="G1227" s="654" t="s">
        <v>3916</v>
      </c>
      <c r="H1227" s="654"/>
      <c r="I1227" s="31"/>
      <c r="J1227" s="1233"/>
      <c r="K1227" s="31"/>
      <c r="L1227" s="21">
        <v>6500</v>
      </c>
      <c r="M1227" s="21"/>
      <c r="N1227" s="21">
        <f t="shared" si="239"/>
        <v>6500</v>
      </c>
      <c r="O1227" s="283"/>
      <c r="P1227" s="647" t="s">
        <v>110</v>
      </c>
      <c r="Q1227" s="1136" t="s">
        <v>105</v>
      </c>
      <c r="R1227" s="963">
        <v>6500</v>
      </c>
      <c r="S1227" s="963">
        <v>6500</v>
      </c>
      <c r="T1227" s="961">
        <v>3503</v>
      </c>
      <c r="U1227" s="654"/>
      <c r="V1227" s="523" t="s">
        <v>307</v>
      </c>
    </row>
    <row r="1228" spans="2:22" ht="30">
      <c r="B1228" s="653" t="s">
        <v>388</v>
      </c>
      <c r="C1228" s="653"/>
      <c r="D1228" s="658" t="s">
        <v>4026</v>
      </c>
      <c r="E1228" s="656">
        <v>41305</v>
      </c>
      <c r="F1228" s="656"/>
      <c r="G1228" s="654" t="s">
        <v>3688</v>
      </c>
      <c r="H1228" s="654"/>
      <c r="I1228" s="31"/>
      <c r="J1228" s="1233"/>
      <c r="K1228" s="31"/>
      <c r="L1228" s="21">
        <v>4165</v>
      </c>
      <c r="M1228" s="21"/>
      <c r="N1228" s="21">
        <f t="shared" si="239"/>
        <v>4165</v>
      </c>
      <c r="O1228" s="283"/>
      <c r="P1228" s="647" t="s">
        <v>110</v>
      </c>
      <c r="Q1228" s="1136" t="s">
        <v>105</v>
      </c>
      <c r="R1228" s="963">
        <v>4165</v>
      </c>
      <c r="S1228" s="963">
        <v>4165</v>
      </c>
      <c r="T1228" s="961"/>
      <c r="U1228" s="654"/>
      <c r="V1228" s="523" t="s">
        <v>307</v>
      </c>
    </row>
    <row r="1229" spans="2:22" ht="30">
      <c r="B1229" s="653" t="s">
        <v>380</v>
      </c>
      <c r="C1229" s="653"/>
      <c r="D1229" s="658" t="s">
        <v>4028</v>
      </c>
      <c r="E1229" s="656">
        <v>41306</v>
      </c>
      <c r="F1229" s="656"/>
      <c r="G1229" s="654" t="s">
        <v>4027</v>
      </c>
      <c r="H1229" s="654"/>
      <c r="I1229" s="31"/>
      <c r="J1229" s="1233"/>
      <c r="K1229" s="31"/>
      <c r="L1229" s="21">
        <v>2950</v>
      </c>
      <c r="M1229" s="21"/>
      <c r="N1229" s="21">
        <f t="shared" si="239"/>
        <v>2950</v>
      </c>
      <c r="O1229" s="283"/>
      <c r="P1229" s="647" t="s">
        <v>110</v>
      </c>
      <c r="Q1229" s="1136" t="s">
        <v>105</v>
      </c>
      <c r="R1229" s="963">
        <v>2950</v>
      </c>
      <c r="S1229" s="963">
        <v>2950</v>
      </c>
      <c r="T1229" s="961"/>
      <c r="U1229" s="654"/>
      <c r="V1229" s="523" t="s">
        <v>307</v>
      </c>
    </row>
    <row r="1230" spans="2:22" ht="30">
      <c r="B1230" s="653" t="s">
        <v>314</v>
      </c>
      <c r="C1230" s="653"/>
      <c r="D1230" s="658" t="s">
        <v>4030</v>
      </c>
      <c r="E1230" s="656">
        <v>41306</v>
      </c>
      <c r="F1230" s="656"/>
      <c r="G1230" s="654" t="s">
        <v>4029</v>
      </c>
      <c r="H1230" s="654"/>
      <c r="I1230" s="31"/>
      <c r="J1230" s="1233"/>
      <c r="K1230" s="31"/>
      <c r="L1230" s="21">
        <v>51250</v>
      </c>
      <c r="M1230" s="21"/>
      <c r="N1230" s="21">
        <f t="shared" si="239"/>
        <v>51250</v>
      </c>
      <c r="O1230" s="283"/>
      <c r="P1230" s="647" t="s">
        <v>110</v>
      </c>
      <c r="Q1230" s="1136" t="s">
        <v>105</v>
      </c>
      <c r="R1230" s="963">
        <v>51250</v>
      </c>
      <c r="S1230" s="963">
        <v>51250</v>
      </c>
      <c r="T1230" s="961"/>
      <c r="U1230" s="654"/>
      <c r="V1230" s="523" t="s">
        <v>307</v>
      </c>
    </row>
    <row r="1231" spans="2:22" ht="30">
      <c r="B1231" s="653" t="s">
        <v>311</v>
      </c>
      <c r="C1231" s="653"/>
      <c r="D1231" s="658" t="s">
        <v>4032</v>
      </c>
      <c r="E1231" s="656">
        <v>41310</v>
      </c>
      <c r="F1231" s="656"/>
      <c r="G1231" s="654" t="s">
        <v>4031</v>
      </c>
      <c r="H1231" s="654"/>
      <c r="I1231" s="31"/>
      <c r="J1231" s="1233"/>
      <c r="K1231" s="31"/>
      <c r="L1231" s="21">
        <v>10078</v>
      </c>
      <c r="M1231" s="21"/>
      <c r="N1231" s="21">
        <f t="shared" si="239"/>
        <v>10078</v>
      </c>
      <c r="O1231" s="283"/>
      <c r="P1231" s="647" t="s">
        <v>110</v>
      </c>
      <c r="Q1231" s="1136" t="s">
        <v>105</v>
      </c>
      <c r="R1231" s="963">
        <v>10078</v>
      </c>
      <c r="S1231" s="963">
        <v>10078</v>
      </c>
      <c r="T1231" s="961"/>
      <c r="U1231" s="654"/>
      <c r="V1231" s="523" t="s">
        <v>307</v>
      </c>
    </row>
    <row r="1232" spans="2:22" ht="30">
      <c r="B1232" s="653" t="s">
        <v>311</v>
      </c>
      <c r="C1232" s="653"/>
      <c r="D1232" s="658" t="s">
        <v>4034</v>
      </c>
      <c r="E1232" s="656">
        <v>41310</v>
      </c>
      <c r="F1232" s="656"/>
      <c r="G1232" s="654" t="s">
        <v>4033</v>
      </c>
      <c r="H1232" s="654"/>
      <c r="I1232" s="31"/>
      <c r="J1232" s="1233"/>
      <c r="K1232" s="31"/>
      <c r="L1232" s="21">
        <v>8066</v>
      </c>
      <c r="M1232" s="21"/>
      <c r="N1232" s="21">
        <f t="shared" si="239"/>
        <v>8066</v>
      </c>
      <c r="O1232" s="283"/>
      <c r="P1232" s="647" t="s">
        <v>110</v>
      </c>
      <c r="Q1232" s="1136" t="s">
        <v>105</v>
      </c>
      <c r="R1232" s="963">
        <v>8066</v>
      </c>
      <c r="S1232" s="963">
        <v>8066</v>
      </c>
      <c r="T1232" s="961"/>
      <c r="U1232" s="654"/>
      <c r="V1232" s="523" t="s">
        <v>307</v>
      </c>
    </row>
    <row r="1233" spans="2:22" ht="30">
      <c r="B1233" s="653" t="s">
        <v>311</v>
      </c>
      <c r="C1233" s="653"/>
      <c r="D1233" s="658" t="s">
        <v>4035</v>
      </c>
      <c r="E1233" s="656">
        <v>41313</v>
      </c>
      <c r="F1233" s="656"/>
      <c r="G1233" s="654" t="s">
        <v>315</v>
      </c>
      <c r="H1233" s="654"/>
      <c r="I1233" s="31"/>
      <c r="J1233" s="1233"/>
      <c r="K1233" s="31"/>
      <c r="L1233" s="21">
        <v>14300</v>
      </c>
      <c r="M1233" s="21"/>
      <c r="N1233" s="21">
        <f t="shared" si="239"/>
        <v>14300</v>
      </c>
      <c r="O1233" s="283"/>
      <c r="P1233" s="647" t="s">
        <v>110</v>
      </c>
      <c r="Q1233" s="1136" t="s">
        <v>105</v>
      </c>
      <c r="R1233" s="1053">
        <f>SUM(R1234:R1238)</f>
        <v>14300</v>
      </c>
      <c r="S1233" s="1053">
        <f>SUM(S1234:S1238)</f>
        <v>14300</v>
      </c>
      <c r="T1233" s="961"/>
      <c r="U1233" s="654"/>
      <c r="V1233" s="523" t="s">
        <v>307</v>
      </c>
    </row>
    <row r="1234" spans="2:22">
      <c r="B1234" s="653" t="s">
        <v>5483</v>
      </c>
      <c r="C1234" s="653"/>
      <c r="D1234" s="658"/>
      <c r="E1234" s="656"/>
      <c r="F1234" s="656"/>
      <c r="G1234" s="654"/>
      <c r="H1234" s="654"/>
      <c r="I1234" s="31"/>
      <c r="J1234" s="1233"/>
      <c r="K1234" s="31"/>
      <c r="L1234" s="795"/>
      <c r="M1234" s="21"/>
      <c r="N1234" s="21">
        <f>SUM(L1234:M1234)</f>
        <v>0</v>
      </c>
      <c r="O1234" s="283"/>
      <c r="P1234" s="647"/>
      <c r="Q1234" s="1136"/>
      <c r="R1234" s="35">
        <v>3000</v>
      </c>
      <c r="S1234" s="35">
        <v>3000</v>
      </c>
      <c r="T1234" s="961" t="s">
        <v>5488</v>
      </c>
      <c r="U1234" s="654"/>
      <c r="V1234" s="523"/>
    </row>
    <row r="1235" spans="2:22" ht="30">
      <c r="B1235" s="653" t="s">
        <v>5484</v>
      </c>
      <c r="C1235" s="653"/>
      <c r="D1235" s="658"/>
      <c r="E1235" s="656"/>
      <c r="F1235" s="656"/>
      <c r="G1235" s="654"/>
      <c r="H1235" s="654"/>
      <c r="I1235" s="31"/>
      <c r="J1235" s="1233"/>
      <c r="K1235" s="31"/>
      <c r="L1235" s="795"/>
      <c r="M1235" s="21"/>
      <c r="N1235" s="21">
        <f>SUM(L1235:M1235)</f>
        <v>0</v>
      </c>
      <c r="O1235" s="283"/>
      <c r="P1235" s="647"/>
      <c r="Q1235" s="1136"/>
      <c r="R1235" s="35">
        <v>2100</v>
      </c>
      <c r="S1235" s="35">
        <v>2100</v>
      </c>
      <c r="T1235" s="961" t="s">
        <v>5489</v>
      </c>
      <c r="U1235" s="654"/>
      <c r="V1235" s="523"/>
    </row>
    <row r="1236" spans="2:22" ht="30">
      <c r="B1236" s="653" t="s">
        <v>5485</v>
      </c>
      <c r="C1236" s="653"/>
      <c r="D1236" s="658"/>
      <c r="E1236" s="656"/>
      <c r="F1236" s="656"/>
      <c r="G1236" s="654"/>
      <c r="H1236" s="654"/>
      <c r="I1236" s="31"/>
      <c r="J1236" s="1233"/>
      <c r="K1236" s="31"/>
      <c r="L1236" s="795"/>
      <c r="M1236" s="21"/>
      <c r="N1236" s="21">
        <f>SUM(L1236:M1236)</f>
        <v>0</v>
      </c>
      <c r="O1236" s="283"/>
      <c r="P1236" s="647"/>
      <c r="Q1236" s="1136"/>
      <c r="R1236" s="35">
        <v>4300</v>
      </c>
      <c r="S1236" s="35">
        <v>4300</v>
      </c>
      <c r="T1236" s="961" t="s">
        <v>5489</v>
      </c>
      <c r="U1236" s="654"/>
      <c r="V1236" s="523"/>
    </row>
    <row r="1237" spans="2:22" ht="30">
      <c r="B1237" s="653" t="s">
        <v>5486</v>
      </c>
      <c r="C1237" s="653"/>
      <c r="D1237" s="658"/>
      <c r="E1237" s="656"/>
      <c r="F1237" s="656"/>
      <c r="G1237" s="654"/>
      <c r="H1237" s="654"/>
      <c r="I1237" s="31"/>
      <c r="J1237" s="1233"/>
      <c r="K1237" s="31"/>
      <c r="L1237" s="795"/>
      <c r="M1237" s="21"/>
      <c r="N1237" s="21">
        <f>SUM(L1237:M1237)</f>
        <v>0</v>
      </c>
      <c r="O1237" s="283"/>
      <c r="P1237" s="647"/>
      <c r="Q1237" s="1136"/>
      <c r="R1237" s="35">
        <v>1400</v>
      </c>
      <c r="S1237" s="35">
        <v>1400</v>
      </c>
      <c r="T1237" s="961" t="s">
        <v>5489</v>
      </c>
      <c r="U1237" s="654"/>
      <c r="V1237" s="523"/>
    </row>
    <row r="1238" spans="2:22" ht="30">
      <c r="B1238" s="653" t="s">
        <v>5487</v>
      </c>
      <c r="C1238" s="653"/>
      <c r="D1238" s="658"/>
      <c r="E1238" s="656"/>
      <c r="F1238" s="656"/>
      <c r="G1238" s="654"/>
      <c r="H1238" s="654"/>
      <c r="I1238" s="31"/>
      <c r="J1238" s="1233"/>
      <c r="K1238" s="31"/>
      <c r="L1238" s="795"/>
      <c r="M1238" s="21"/>
      <c r="N1238" s="21">
        <f>SUM(L1238:M1238)</f>
        <v>0</v>
      </c>
      <c r="O1238" s="283"/>
      <c r="P1238" s="647"/>
      <c r="Q1238" s="1136"/>
      <c r="R1238" s="35">
        <v>3500</v>
      </c>
      <c r="S1238" s="35">
        <v>3500</v>
      </c>
      <c r="T1238" s="961" t="s">
        <v>5489</v>
      </c>
      <c r="U1238" s="654"/>
      <c r="V1238" s="523"/>
    </row>
    <row r="1239" spans="2:22" ht="30">
      <c r="B1239" s="653" t="s">
        <v>331</v>
      </c>
      <c r="C1239" s="653"/>
      <c r="D1239" s="658" t="s">
        <v>4036</v>
      </c>
      <c r="E1239" s="656">
        <v>41313</v>
      </c>
      <c r="F1239" s="656"/>
      <c r="G1239" s="654" t="s">
        <v>364</v>
      </c>
      <c r="H1239" s="654"/>
      <c r="I1239" s="31"/>
      <c r="J1239" s="1233"/>
      <c r="K1239" s="31"/>
      <c r="L1239" s="21">
        <v>10000</v>
      </c>
      <c r="M1239" s="21"/>
      <c r="N1239" s="21">
        <f t="shared" si="239"/>
        <v>10000</v>
      </c>
      <c r="O1239" s="283"/>
      <c r="P1239" s="647" t="s">
        <v>110</v>
      </c>
      <c r="Q1239" s="1136" t="s">
        <v>105</v>
      </c>
      <c r="R1239" s="963">
        <v>10000</v>
      </c>
      <c r="S1239" s="963">
        <v>10000</v>
      </c>
      <c r="T1239" s="961"/>
      <c r="U1239" s="654"/>
      <c r="V1239" s="523" t="s">
        <v>307</v>
      </c>
    </row>
    <row r="1240" spans="2:22" ht="30">
      <c r="B1240" s="653" t="s">
        <v>314</v>
      </c>
      <c r="C1240" s="653"/>
      <c r="D1240" s="658" t="s">
        <v>4037</v>
      </c>
      <c r="E1240" s="656">
        <v>41313</v>
      </c>
      <c r="F1240" s="656"/>
      <c r="G1240" s="654" t="s">
        <v>3505</v>
      </c>
      <c r="H1240" s="654"/>
      <c r="I1240" s="31"/>
      <c r="J1240" s="1233"/>
      <c r="K1240" s="31"/>
      <c r="L1240" s="21">
        <v>20000</v>
      </c>
      <c r="M1240" s="21"/>
      <c r="N1240" s="21">
        <f t="shared" si="239"/>
        <v>20000</v>
      </c>
      <c r="O1240" s="283"/>
      <c r="P1240" s="647" t="s">
        <v>110</v>
      </c>
      <c r="Q1240" s="1136" t="s">
        <v>105</v>
      </c>
      <c r="R1240" s="963">
        <v>20000</v>
      </c>
      <c r="S1240" s="963">
        <v>20000</v>
      </c>
      <c r="T1240" s="961"/>
      <c r="U1240" s="654"/>
      <c r="V1240" s="523" t="s">
        <v>307</v>
      </c>
    </row>
    <row r="1241" spans="2:22" ht="30">
      <c r="B1241" s="653" t="s">
        <v>314</v>
      </c>
      <c r="C1241" s="653"/>
      <c r="D1241" s="658" t="s">
        <v>4038</v>
      </c>
      <c r="E1241" s="656">
        <v>41313</v>
      </c>
      <c r="F1241" s="656"/>
      <c r="G1241" s="654" t="s">
        <v>1987</v>
      </c>
      <c r="H1241" s="654"/>
      <c r="I1241" s="31"/>
      <c r="J1241" s="1233"/>
      <c r="K1241" s="31"/>
      <c r="L1241" s="21">
        <v>5000</v>
      </c>
      <c r="M1241" s="21"/>
      <c r="N1241" s="21">
        <f t="shared" si="239"/>
        <v>5000</v>
      </c>
      <c r="O1241" s="283"/>
      <c r="P1241" s="647" t="s">
        <v>110</v>
      </c>
      <c r="Q1241" s="1136" t="s">
        <v>105</v>
      </c>
      <c r="R1241" s="963">
        <v>5000</v>
      </c>
      <c r="S1241" s="963">
        <v>5000</v>
      </c>
      <c r="T1241" s="961"/>
      <c r="U1241" s="654"/>
      <c r="V1241" s="523" t="s">
        <v>307</v>
      </c>
    </row>
    <row r="1242" spans="2:22" ht="30">
      <c r="B1242" s="653" t="s">
        <v>337</v>
      </c>
      <c r="C1242" s="653"/>
      <c r="D1242" s="658" t="s">
        <v>4039</v>
      </c>
      <c r="E1242" s="656">
        <v>41313</v>
      </c>
      <c r="F1242" s="656"/>
      <c r="G1242" s="654" t="s">
        <v>3920</v>
      </c>
      <c r="H1242" s="654"/>
      <c r="I1242" s="31"/>
      <c r="J1242" s="1233"/>
      <c r="K1242" s="31"/>
      <c r="L1242" s="21">
        <v>6000</v>
      </c>
      <c r="M1242" s="21"/>
      <c r="N1242" s="21">
        <f t="shared" si="239"/>
        <v>6000</v>
      </c>
      <c r="O1242" s="283"/>
      <c r="P1242" s="647" t="s">
        <v>110</v>
      </c>
      <c r="Q1242" s="1136" t="s">
        <v>105</v>
      </c>
      <c r="R1242" s="963">
        <v>6000</v>
      </c>
      <c r="S1242" s="963">
        <v>6000</v>
      </c>
      <c r="T1242" s="961"/>
      <c r="U1242" s="654"/>
      <c r="V1242" s="523" t="s">
        <v>307</v>
      </c>
    </row>
    <row r="1243" spans="2:22" ht="30">
      <c r="B1243" s="653" t="s">
        <v>319</v>
      </c>
      <c r="C1243" s="653"/>
      <c r="D1243" s="658" t="s">
        <v>4041</v>
      </c>
      <c r="E1243" s="656">
        <v>41318</v>
      </c>
      <c r="F1243" s="656"/>
      <c r="G1243" s="654" t="s">
        <v>4040</v>
      </c>
      <c r="H1243" s="654"/>
      <c r="I1243" s="31"/>
      <c r="J1243" s="1233"/>
      <c r="K1243" s="31"/>
      <c r="L1243" s="21">
        <f>4657400/1000</f>
        <v>4657.3999999999996</v>
      </c>
      <c r="M1243" s="21"/>
      <c r="N1243" s="21">
        <f t="shared" ref="N1243:N1559" si="240">SUM(L1243:M1243)</f>
        <v>4657.3999999999996</v>
      </c>
      <c r="O1243" s="283"/>
      <c r="P1243" s="647" t="s">
        <v>110</v>
      </c>
      <c r="Q1243" s="1136" t="s">
        <v>105</v>
      </c>
      <c r="R1243" s="963">
        <f>4657400/1000</f>
        <v>4657.3999999999996</v>
      </c>
      <c r="S1243" s="963">
        <f>4657400/1000</f>
        <v>4657.3999999999996</v>
      </c>
      <c r="T1243" s="961"/>
      <c r="U1243" s="654"/>
      <c r="V1243" s="523" t="s">
        <v>307</v>
      </c>
    </row>
    <row r="1244" spans="2:22" ht="30">
      <c r="B1244" s="653" t="s">
        <v>314</v>
      </c>
      <c r="C1244" s="653"/>
      <c r="D1244" s="658" t="s">
        <v>4042</v>
      </c>
      <c r="E1244" s="656">
        <v>41318</v>
      </c>
      <c r="F1244" s="656"/>
      <c r="G1244" s="654" t="s">
        <v>3965</v>
      </c>
      <c r="H1244" s="654"/>
      <c r="I1244" s="31"/>
      <c r="J1244" s="1233"/>
      <c r="K1244" s="31"/>
      <c r="L1244" s="21">
        <v>2000</v>
      </c>
      <c r="M1244" s="21"/>
      <c r="N1244" s="21">
        <f t="shared" si="240"/>
        <v>2000</v>
      </c>
      <c r="O1244" s="283"/>
      <c r="P1244" s="647" t="s">
        <v>110</v>
      </c>
      <c r="Q1244" s="1136" t="s">
        <v>105</v>
      </c>
      <c r="R1244" s="963">
        <v>2000</v>
      </c>
      <c r="S1244" s="963">
        <v>2000</v>
      </c>
      <c r="T1244" s="961"/>
      <c r="U1244" s="654"/>
      <c r="V1244" s="523" t="s">
        <v>307</v>
      </c>
    </row>
    <row r="1245" spans="2:22" ht="30">
      <c r="B1245" s="653" t="s">
        <v>314</v>
      </c>
      <c r="C1245" s="653"/>
      <c r="D1245" s="658" t="s">
        <v>4044</v>
      </c>
      <c r="E1245" s="656">
        <v>41318</v>
      </c>
      <c r="F1245" s="656"/>
      <c r="G1245" s="654" t="s">
        <v>4043</v>
      </c>
      <c r="H1245" s="654"/>
      <c r="I1245" s="31"/>
      <c r="J1245" s="1233"/>
      <c r="K1245" s="31"/>
      <c r="L1245" s="21">
        <v>4000</v>
      </c>
      <c r="M1245" s="21"/>
      <c r="N1245" s="21">
        <f t="shared" si="240"/>
        <v>4000</v>
      </c>
      <c r="O1245" s="283"/>
      <c r="P1245" s="647" t="s">
        <v>110</v>
      </c>
      <c r="Q1245" s="1136" t="s">
        <v>105</v>
      </c>
      <c r="R1245" s="963">
        <v>4000</v>
      </c>
      <c r="S1245" s="963">
        <v>4000</v>
      </c>
      <c r="T1245" s="961"/>
      <c r="U1245" s="654"/>
      <c r="V1245" s="523" t="s">
        <v>307</v>
      </c>
    </row>
    <row r="1246" spans="2:22" ht="30">
      <c r="B1246" s="653" t="s">
        <v>380</v>
      </c>
      <c r="C1246" s="653"/>
      <c r="D1246" s="658" t="s">
        <v>4046</v>
      </c>
      <c r="E1246" s="656">
        <v>41319</v>
      </c>
      <c r="F1246" s="656"/>
      <c r="G1246" s="654" t="s">
        <v>4045</v>
      </c>
      <c r="H1246" s="654"/>
      <c r="I1246" s="31"/>
      <c r="J1246" s="1233"/>
      <c r="K1246" s="31"/>
      <c r="L1246" s="21">
        <v>6000</v>
      </c>
      <c r="M1246" s="21"/>
      <c r="N1246" s="21">
        <f t="shared" si="240"/>
        <v>6000</v>
      </c>
      <c r="O1246" s="283"/>
      <c r="P1246" s="647" t="s">
        <v>110</v>
      </c>
      <c r="Q1246" s="1136" t="s">
        <v>105</v>
      </c>
      <c r="R1246" s="963">
        <v>6000</v>
      </c>
      <c r="S1246" s="963">
        <v>6000</v>
      </c>
      <c r="T1246" s="961"/>
      <c r="U1246" s="654"/>
      <c r="V1246" s="523" t="s">
        <v>307</v>
      </c>
    </row>
    <row r="1247" spans="2:22" ht="90">
      <c r="B1247" s="653" t="s">
        <v>308</v>
      </c>
      <c r="C1247" s="653"/>
      <c r="D1247" s="658" t="s">
        <v>4048</v>
      </c>
      <c r="E1247" s="656">
        <v>41319</v>
      </c>
      <c r="F1247" s="656"/>
      <c r="G1247" s="654" t="s">
        <v>4047</v>
      </c>
      <c r="H1247" s="654"/>
      <c r="I1247" s="31"/>
      <c r="J1247" s="1233"/>
      <c r="K1247" s="31"/>
      <c r="L1247" s="21">
        <v>10000</v>
      </c>
      <c r="M1247" s="21"/>
      <c r="N1247" s="21">
        <f t="shared" si="240"/>
        <v>10000</v>
      </c>
      <c r="O1247" s="283"/>
      <c r="P1247" s="647" t="s">
        <v>110</v>
      </c>
      <c r="Q1247" s="1136" t="s">
        <v>105</v>
      </c>
      <c r="R1247" s="963">
        <v>10000</v>
      </c>
      <c r="S1247" s="963">
        <v>10000</v>
      </c>
      <c r="T1247" s="961" t="s">
        <v>4646</v>
      </c>
      <c r="U1247" s="654"/>
      <c r="V1247" s="523" t="s">
        <v>307</v>
      </c>
    </row>
    <row r="1248" spans="2:22" ht="30">
      <c r="B1248" s="653" t="s">
        <v>2651</v>
      </c>
      <c r="C1248" s="653"/>
      <c r="D1248" s="658" t="s">
        <v>4050</v>
      </c>
      <c r="E1248" s="656">
        <v>41319</v>
      </c>
      <c r="F1248" s="656"/>
      <c r="G1248" s="660" t="s">
        <v>4049</v>
      </c>
      <c r="H1248" s="281"/>
      <c r="I1248" s="31"/>
      <c r="J1248" s="1233"/>
      <c r="K1248" s="31"/>
      <c r="L1248" s="21">
        <f>-3600+3600</f>
        <v>0</v>
      </c>
      <c r="M1248" s="21"/>
      <c r="N1248" s="21">
        <f t="shared" si="240"/>
        <v>0</v>
      </c>
      <c r="O1248" s="283"/>
      <c r="P1248" s="647" t="s">
        <v>110</v>
      </c>
      <c r="Q1248" s="1136" t="s">
        <v>105</v>
      </c>
      <c r="R1248" s="963"/>
      <c r="S1248" s="963"/>
      <c r="T1248" s="961"/>
      <c r="U1248" s="654"/>
      <c r="V1248" s="523"/>
    </row>
    <row r="1249" spans="2:22" ht="30">
      <c r="B1249" s="653" t="s">
        <v>314</v>
      </c>
      <c r="C1249" s="653"/>
      <c r="D1249" s="658" t="s">
        <v>4052</v>
      </c>
      <c r="E1249" s="656">
        <v>41319</v>
      </c>
      <c r="F1249" s="656"/>
      <c r="G1249" s="660" t="s">
        <v>4051</v>
      </c>
      <c r="H1249" s="654"/>
      <c r="I1249" s="31"/>
      <c r="J1249" s="1233"/>
      <c r="K1249" s="31"/>
      <c r="L1249" s="21">
        <v>-7600</v>
      </c>
      <c r="M1249" s="21"/>
      <c r="N1249" s="21">
        <f t="shared" si="240"/>
        <v>-7600</v>
      </c>
      <c r="O1249" s="283"/>
      <c r="P1249" s="647" t="s">
        <v>110</v>
      </c>
      <c r="Q1249" s="1136" t="s">
        <v>105</v>
      </c>
      <c r="R1249" s="963">
        <v>-7600</v>
      </c>
      <c r="S1249" s="963">
        <v>-7600</v>
      </c>
      <c r="T1249" s="961"/>
      <c r="U1249" s="654"/>
      <c r="V1249" s="523" t="s">
        <v>307</v>
      </c>
    </row>
    <row r="1250" spans="2:22" ht="30">
      <c r="B1250" s="653" t="s">
        <v>314</v>
      </c>
      <c r="C1250" s="653"/>
      <c r="D1250" s="658" t="s">
        <v>4053</v>
      </c>
      <c r="E1250" s="656">
        <v>41319</v>
      </c>
      <c r="F1250" s="656"/>
      <c r="G1250" s="654" t="s">
        <v>3965</v>
      </c>
      <c r="H1250" s="654"/>
      <c r="I1250" s="31"/>
      <c r="J1250" s="1233"/>
      <c r="K1250" s="31"/>
      <c r="L1250" s="21">
        <v>7600</v>
      </c>
      <c r="M1250" s="21"/>
      <c r="N1250" s="21">
        <f t="shared" si="240"/>
        <v>7600</v>
      </c>
      <c r="O1250" s="283"/>
      <c r="P1250" s="647" t="s">
        <v>110</v>
      </c>
      <c r="Q1250" s="1136" t="s">
        <v>105</v>
      </c>
      <c r="R1250" s="963">
        <v>7600</v>
      </c>
      <c r="S1250" s="963">
        <v>7600</v>
      </c>
      <c r="T1250" s="961"/>
      <c r="U1250" s="654"/>
      <c r="V1250" s="523" t="s">
        <v>307</v>
      </c>
    </row>
    <row r="1251" spans="2:22" ht="30">
      <c r="B1251" s="661" t="s">
        <v>337</v>
      </c>
      <c r="C1251" s="661"/>
      <c r="D1251" s="658" t="s">
        <v>4055</v>
      </c>
      <c r="E1251" s="657">
        <v>41324</v>
      </c>
      <c r="F1251" s="657"/>
      <c r="G1251" s="654" t="s">
        <v>4054</v>
      </c>
      <c r="H1251" s="654"/>
      <c r="I1251" s="31"/>
      <c r="J1251" s="1233"/>
      <c r="K1251" s="31"/>
      <c r="L1251" s="21">
        <v>1000</v>
      </c>
      <c r="M1251" s="21"/>
      <c r="N1251" s="21">
        <f t="shared" si="240"/>
        <v>1000</v>
      </c>
      <c r="O1251" s="283"/>
      <c r="P1251" s="647" t="s">
        <v>110</v>
      </c>
      <c r="Q1251" s="1136" t="s">
        <v>105</v>
      </c>
      <c r="R1251" s="963">
        <v>1000</v>
      </c>
      <c r="S1251" s="963">
        <v>1000</v>
      </c>
      <c r="T1251" s="961"/>
      <c r="U1251" s="654"/>
      <c r="V1251" s="523" t="s">
        <v>307</v>
      </c>
    </row>
    <row r="1252" spans="2:22" ht="30">
      <c r="B1252" s="661" t="s">
        <v>321</v>
      </c>
      <c r="C1252" s="661"/>
      <c r="D1252" s="658" t="s">
        <v>4057</v>
      </c>
      <c r="E1252" s="657">
        <v>41330</v>
      </c>
      <c r="F1252" s="657"/>
      <c r="G1252" s="660" t="s">
        <v>4056</v>
      </c>
      <c r="H1252" s="281"/>
      <c r="I1252" s="31"/>
      <c r="J1252" s="1233"/>
      <c r="K1252" s="31"/>
      <c r="L1252" s="21">
        <f>-3000+3000</f>
        <v>0</v>
      </c>
      <c r="M1252" s="21"/>
      <c r="N1252" s="21">
        <f t="shared" si="240"/>
        <v>0</v>
      </c>
      <c r="O1252" s="283"/>
      <c r="P1252" s="647" t="s">
        <v>110</v>
      </c>
      <c r="Q1252" s="1136" t="s">
        <v>105</v>
      </c>
      <c r="R1252" s="963"/>
      <c r="S1252" s="963"/>
      <c r="T1252" s="961"/>
      <c r="U1252" s="654"/>
      <c r="V1252" s="523"/>
    </row>
    <row r="1253" spans="2:22" ht="90">
      <c r="B1253" s="653" t="s">
        <v>308</v>
      </c>
      <c r="C1253" s="653"/>
      <c r="D1253" s="658" t="s">
        <v>4059</v>
      </c>
      <c r="E1253" s="656">
        <v>41332</v>
      </c>
      <c r="F1253" s="656"/>
      <c r="G1253" s="654" t="s">
        <v>4058</v>
      </c>
      <c r="H1253" s="654"/>
      <c r="I1253" s="31"/>
      <c r="J1253" s="1233"/>
      <c r="K1253" s="31"/>
      <c r="L1253" s="21">
        <v>1000</v>
      </c>
      <c r="M1253" s="21"/>
      <c r="N1253" s="21">
        <f t="shared" si="240"/>
        <v>1000</v>
      </c>
      <c r="O1253" s="283"/>
      <c r="P1253" s="647" t="s">
        <v>110</v>
      </c>
      <c r="Q1253" s="1136" t="s">
        <v>105</v>
      </c>
      <c r="R1253" s="963">
        <v>1000</v>
      </c>
      <c r="S1253" s="963">
        <v>1000</v>
      </c>
      <c r="T1253" s="961" t="s">
        <v>4646</v>
      </c>
      <c r="U1253" s="654"/>
      <c r="V1253" s="523" t="s">
        <v>307</v>
      </c>
    </row>
    <row r="1254" spans="2:22" ht="30">
      <c r="B1254" s="653" t="s">
        <v>321</v>
      </c>
      <c r="C1254" s="653"/>
      <c r="D1254" s="658" t="s">
        <v>4060</v>
      </c>
      <c r="E1254" s="656">
        <v>41332</v>
      </c>
      <c r="F1254" s="656"/>
      <c r="G1254" s="654" t="s">
        <v>4058</v>
      </c>
      <c r="H1254" s="654"/>
      <c r="I1254" s="31"/>
      <c r="J1254" s="1233"/>
      <c r="K1254" s="31"/>
      <c r="L1254" s="21">
        <v>20000</v>
      </c>
      <c r="M1254" s="21"/>
      <c r="N1254" s="21">
        <f t="shared" si="240"/>
        <v>20000</v>
      </c>
      <c r="O1254" s="283"/>
      <c r="P1254" s="647" t="s">
        <v>110</v>
      </c>
      <c r="Q1254" s="1136" t="s">
        <v>105</v>
      </c>
      <c r="R1254" s="963">
        <v>20000</v>
      </c>
      <c r="S1254" s="963">
        <v>20000</v>
      </c>
      <c r="T1254" s="961"/>
      <c r="U1254" s="654"/>
      <c r="V1254" s="523" t="s">
        <v>307</v>
      </c>
    </row>
    <row r="1255" spans="2:22">
      <c r="B1255" s="1091" t="s">
        <v>6466</v>
      </c>
      <c r="C1255" s="653"/>
      <c r="D1255" s="658"/>
      <c r="E1255" s="656"/>
      <c r="F1255" s="656"/>
      <c r="G1255" s="654"/>
      <c r="H1255" s="654"/>
      <c r="I1255" s="31"/>
      <c r="J1255" s="1233"/>
      <c r="K1255" s="31"/>
      <c r="L1255" s="21"/>
      <c r="M1255" s="21"/>
      <c r="N1255" s="21"/>
      <c r="O1255" s="283"/>
      <c r="P1255" s="647"/>
      <c r="Q1255" s="1136"/>
      <c r="R1255" s="963"/>
      <c r="S1255" s="963"/>
      <c r="T1255" s="961"/>
      <c r="U1255" s="654"/>
      <c r="V1255" s="523"/>
    </row>
    <row r="1256" spans="2:22">
      <c r="B1256" s="1091" t="s">
        <v>6467</v>
      </c>
      <c r="C1256" s="653"/>
      <c r="D1256" s="658"/>
      <c r="E1256" s="656"/>
      <c r="F1256" s="656"/>
      <c r="G1256" s="654"/>
      <c r="H1256" s="654"/>
      <c r="I1256" s="31"/>
      <c r="J1256" s="1233"/>
      <c r="K1256" s="31"/>
      <c r="L1256" s="21"/>
      <c r="M1256" s="21"/>
      <c r="N1256" s="21"/>
      <c r="O1256" s="283"/>
      <c r="P1256" s="647"/>
      <c r="Q1256" s="1136"/>
      <c r="R1256" s="963"/>
      <c r="S1256" s="963"/>
      <c r="T1256" s="961"/>
      <c r="U1256" s="654"/>
      <c r="V1256" s="523"/>
    </row>
    <row r="1257" spans="2:22">
      <c r="B1257" s="1091" t="s">
        <v>6468</v>
      </c>
      <c r="C1257" s="653"/>
      <c r="D1257" s="658"/>
      <c r="E1257" s="656"/>
      <c r="F1257" s="656"/>
      <c r="G1257" s="654"/>
      <c r="H1257" s="654"/>
      <c r="I1257" s="31"/>
      <c r="J1257" s="1233"/>
      <c r="K1257" s="31"/>
      <c r="L1257" s="21"/>
      <c r="M1257" s="21"/>
      <c r="N1257" s="21"/>
      <c r="O1257" s="283"/>
      <c r="P1257" s="647"/>
      <c r="Q1257" s="1136"/>
      <c r="R1257" s="963"/>
      <c r="S1257" s="963"/>
      <c r="T1257" s="961"/>
      <c r="U1257" s="654"/>
      <c r="V1257" s="523"/>
    </row>
    <row r="1258" spans="2:22">
      <c r="B1258" s="1091" t="s">
        <v>6469</v>
      </c>
      <c r="C1258" s="653"/>
      <c r="D1258" s="658"/>
      <c r="E1258" s="656"/>
      <c r="F1258" s="656"/>
      <c r="G1258" s="654"/>
      <c r="H1258" s="654"/>
      <c r="I1258" s="31"/>
      <c r="J1258" s="1233"/>
      <c r="K1258" s="31"/>
      <c r="L1258" s="21"/>
      <c r="M1258" s="21"/>
      <c r="N1258" s="21"/>
      <c r="O1258" s="283"/>
      <c r="P1258" s="647"/>
      <c r="Q1258" s="1136"/>
      <c r="R1258" s="963"/>
      <c r="S1258" s="963"/>
      <c r="T1258" s="961"/>
      <c r="U1258" s="654"/>
      <c r="V1258" s="523"/>
    </row>
    <row r="1259" spans="2:22">
      <c r="B1259" s="653"/>
      <c r="C1259" s="653"/>
      <c r="D1259" s="658"/>
      <c r="E1259" s="656"/>
      <c r="F1259" s="656"/>
      <c r="G1259" s="654"/>
      <c r="H1259" s="654"/>
      <c r="I1259" s="31"/>
      <c r="J1259" s="1233"/>
      <c r="K1259" s="31"/>
      <c r="L1259" s="21"/>
      <c r="M1259" s="21"/>
      <c r="N1259" s="21"/>
      <c r="O1259" s="283"/>
      <c r="P1259" s="647"/>
      <c r="Q1259" s="1136"/>
      <c r="R1259" s="963"/>
      <c r="S1259" s="963"/>
      <c r="T1259" s="961"/>
      <c r="U1259" s="654"/>
      <c r="V1259" s="523"/>
    </row>
    <row r="1260" spans="2:22" ht="30">
      <c r="B1260" s="653" t="s">
        <v>311</v>
      </c>
      <c r="C1260" s="653"/>
      <c r="D1260" s="658" t="s">
        <v>4061</v>
      </c>
      <c r="E1260" s="657">
        <v>41334</v>
      </c>
      <c r="F1260" s="657"/>
      <c r="G1260" s="654" t="s">
        <v>315</v>
      </c>
      <c r="H1260" s="654"/>
      <c r="I1260" s="31"/>
      <c r="J1260" s="1233"/>
      <c r="K1260" s="31"/>
      <c r="L1260" s="21">
        <v>21200</v>
      </c>
      <c r="M1260" s="21"/>
      <c r="N1260" s="21">
        <f t="shared" si="240"/>
        <v>21200</v>
      </c>
      <c r="O1260" s="283"/>
      <c r="P1260" s="647" t="s">
        <v>110</v>
      </c>
      <c r="Q1260" s="1136" t="s">
        <v>105</v>
      </c>
      <c r="R1260" s="36">
        <f>SUM(R1261:R1264)</f>
        <v>21200</v>
      </c>
      <c r="S1260" s="36">
        <f>SUM(S1261:S1264)</f>
        <v>21200</v>
      </c>
      <c r="T1260" s="961"/>
      <c r="U1260" s="654"/>
      <c r="V1260" s="523" t="s">
        <v>307</v>
      </c>
    </row>
    <row r="1261" spans="2:22">
      <c r="B1261" s="653" t="s">
        <v>5490</v>
      </c>
      <c r="C1261" s="653"/>
      <c r="D1261" s="658"/>
      <c r="E1261" s="657"/>
      <c r="F1261" s="657"/>
      <c r="G1261" s="654"/>
      <c r="H1261" s="654"/>
      <c r="I1261" s="31"/>
      <c r="J1261" s="1233"/>
      <c r="K1261" s="31"/>
      <c r="L1261" s="795"/>
      <c r="M1261" s="21"/>
      <c r="N1261" s="21">
        <f>SUM(L1261:M1261)</f>
        <v>0</v>
      </c>
      <c r="O1261" s="283"/>
      <c r="P1261" s="647"/>
      <c r="Q1261" s="1136"/>
      <c r="R1261" s="35">
        <v>5000</v>
      </c>
      <c r="S1261" s="35">
        <v>5000</v>
      </c>
      <c r="T1261" s="961" t="s">
        <v>5494</v>
      </c>
      <c r="U1261" s="654"/>
      <c r="V1261" s="523"/>
    </row>
    <row r="1262" spans="2:22">
      <c r="B1262" s="653" t="s">
        <v>5491</v>
      </c>
      <c r="C1262" s="653"/>
      <c r="D1262" s="658"/>
      <c r="E1262" s="657"/>
      <c r="F1262" s="657"/>
      <c r="G1262" s="654"/>
      <c r="H1262" s="654"/>
      <c r="I1262" s="31"/>
      <c r="J1262" s="1233"/>
      <c r="K1262" s="31"/>
      <c r="L1262" s="795"/>
      <c r="M1262" s="21"/>
      <c r="N1262" s="21">
        <f>SUM(L1262:M1262)</f>
        <v>0</v>
      </c>
      <c r="O1262" s="283"/>
      <c r="P1262" s="647"/>
      <c r="Q1262" s="1136"/>
      <c r="R1262" s="35">
        <v>5000</v>
      </c>
      <c r="S1262" s="35">
        <v>5000</v>
      </c>
      <c r="T1262" s="961" t="s">
        <v>5494</v>
      </c>
      <c r="U1262" s="654"/>
      <c r="V1262" s="523"/>
    </row>
    <row r="1263" spans="2:22">
      <c r="B1263" s="653" t="s">
        <v>5492</v>
      </c>
      <c r="C1263" s="653"/>
      <c r="D1263" s="658"/>
      <c r="E1263" s="657"/>
      <c r="F1263" s="657"/>
      <c r="G1263" s="654"/>
      <c r="H1263" s="654"/>
      <c r="I1263" s="31"/>
      <c r="J1263" s="1233"/>
      <c r="K1263" s="31"/>
      <c r="L1263" s="795"/>
      <c r="M1263" s="21"/>
      <c r="N1263" s="21">
        <f>SUM(L1263:M1263)</f>
        <v>0</v>
      </c>
      <c r="O1263" s="283"/>
      <c r="P1263" s="647"/>
      <c r="Q1263" s="1136"/>
      <c r="R1263" s="35">
        <v>5000</v>
      </c>
      <c r="S1263" s="35">
        <v>5000</v>
      </c>
      <c r="T1263" s="961" t="s">
        <v>5494</v>
      </c>
      <c r="U1263" s="654"/>
      <c r="V1263" s="523"/>
    </row>
    <row r="1264" spans="2:22">
      <c r="B1264" s="653" t="s">
        <v>5493</v>
      </c>
      <c r="C1264" s="653"/>
      <c r="D1264" s="658"/>
      <c r="E1264" s="657"/>
      <c r="F1264" s="657"/>
      <c r="G1264" s="654"/>
      <c r="H1264" s="654"/>
      <c r="I1264" s="31"/>
      <c r="J1264" s="1233"/>
      <c r="K1264" s="31"/>
      <c r="L1264" s="795"/>
      <c r="M1264" s="21"/>
      <c r="N1264" s="21">
        <f>SUM(L1264:M1264)</f>
        <v>0</v>
      </c>
      <c r="O1264" s="283"/>
      <c r="P1264" s="647"/>
      <c r="Q1264" s="1136"/>
      <c r="R1264" s="35">
        <v>6200</v>
      </c>
      <c r="S1264" s="35">
        <v>6200</v>
      </c>
      <c r="T1264" s="961" t="s">
        <v>5494</v>
      </c>
      <c r="U1264" s="654"/>
      <c r="V1264" s="523"/>
    </row>
    <row r="1265" spans="2:22" ht="30">
      <c r="B1265" s="653" t="s">
        <v>319</v>
      </c>
      <c r="C1265" s="653"/>
      <c r="D1265" s="658" t="s">
        <v>4062</v>
      </c>
      <c r="E1265" s="656">
        <v>41337</v>
      </c>
      <c r="F1265" s="656"/>
      <c r="G1265" s="654" t="s">
        <v>3940</v>
      </c>
      <c r="H1265" s="654"/>
      <c r="I1265" s="31"/>
      <c r="J1265" s="1233"/>
      <c r="K1265" s="31"/>
      <c r="L1265" s="21">
        <v>40500</v>
      </c>
      <c r="M1265" s="21"/>
      <c r="N1265" s="21">
        <f t="shared" si="240"/>
        <v>40500</v>
      </c>
      <c r="O1265" s="283"/>
      <c r="P1265" s="647" t="s">
        <v>110</v>
      </c>
      <c r="Q1265" s="1136" t="s">
        <v>105</v>
      </c>
      <c r="R1265" s="963">
        <v>40500</v>
      </c>
      <c r="S1265" s="963">
        <v>40500</v>
      </c>
      <c r="T1265" s="961"/>
      <c r="U1265" s="654"/>
      <c r="V1265" s="523" t="s">
        <v>307</v>
      </c>
    </row>
    <row r="1266" spans="2:22" ht="30">
      <c r="B1266" s="653" t="s">
        <v>343</v>
      </c>
      <c r="C1266" s="653"/>
      <c r="D1266" s="658" t="s">
        <v>4063</v>
      </c>
      <c r="E1266" s="656">
        <v>41338</v>
      </c>
      <c r="F1266" s="656"/>
      <c r="G1266" s="654" t="s">
        <v>315</v>
      </c>
      <c r="H1266" s="654"/>
      <c r="I1266" s="31"/>
      <c r="J1266" s="1233"/>
      <c r="K1266" s="31"/>
      <c r="L1266" s="21">
        <v>2500</v>
      </c>
      <c r="M1266" s="21"/>
      <c r="N1266" s="21">
        <f t="shared" si="240"/>
        <v>2500</v>
      </c>
      <c r="O1266" s="283"/>
      <c r="P1266" s="647" t="s">
        <v>110</v>
      </c>
      <c r="Q1266" s="1136" t="s">
        <v>105</v>
      </c>
      <c r="R1266" s="968"/>
      <c r="S1266" s="968"/>
      <c r="T1266" s="966"/>
      <c r="U1266" s="654"/>
      <c r="V1266" s="523" t="s">
        <v>307</v>
      </c>
    </row>
    <row r="1267" spans="2:22" ht="30">
      <c r="B1267" s="650" t="s">
        <v>3821</v>
      </c>
      <c r="C1267" s="648"/>
      <c r="D1267" s="282"/>
      <c r="E1267" s="659"/>
      <c r="F1267" s="659"/>
      <c r="G1267" s="281"/>
      <c r="H1267" s="281"/>
      <c r="L1267" s="283"/>
      <c r="M1267" s="283"/>
      <c r="N1267" s="283"/>
      <c r="O1267" s="283"/>
      <c r="P1267" s="654"/>
      <c r="Q1267" s="21"/>
      <c r="R1267" s="38">
        <v>500</v>
      </c>
      <c r="S1267" s="38">
        <v>494</v>
      </c>
      <c r="T1267" s="966" t="s">
        <v>6190</v>
      </c>
      <c r="U1267" s="281"/>
      <c r="V1267" s="288"/>
    </row>
    <row r="1268" spans="2:22">
      <c r="B1268" s="648" t="s">
        <v>3822</v>
      </c>
      <c r="C1268" s="648"/>
      <c r="D1268" s="282"/>
      <c r="E1268" s="659"/>
      <c r="F1268" s="659"/>
      <c r="G1268" s="281"/>
      <c r="H1268" s="281"/>
      <c r="L1268" s="283"/>
      <c r="M1268" s="283"/>
      <c r="N1268" s="283"/>
      <c r="O1268" s="283"/>
      <c r="P1268" s="654"/>
      <c r="Q1268" s="21"/>
      <c r="R1268" s="38">
        <v>500</v>
      </c>
      <c r="S1268" s="38">
        <v>500</v>
      </c>
      <c r="T1268" s="967"/>
      <c r="U1268" s="281"/>
      <c r="V1268" s="288"/>
    </row>
    <row r="1269" spans="2:22">
      <c r="B1269" s="648" t="s">
        <v>3820</v>
      </c>
      <c r="C1269" s="648"/>
      <c r="D1269" s="282"/>
      <c r="E1269" s="659"/>
      <c r="F1269" s="659"/>
      <c r="G1269" s="281"/>
      <c r="H1269" s="281"/>
      <c r="L1269" s="283"/>
      <c r="M1269" s="283"/>
      <c r="N1269" s="283"/>
      <c r="O1269" s="283"/>
      <c r="P1269" s="654"/>
      <c r="Q1269" s="21"/>
      <c r="R1269" s="38">
        <v>500</v>
      </c>
      <c r="S1269" s="38">
        <v>500</v>
      </c>
      <c r="T1269" s="967"/>
      <c r="U1269" s="281"/>
      <c r="V1269" s="288"/>
    </row>
    <row r="1270" spans="2:22">
      <c r="B1270" s="648" t="s">
        <v>3823</v>
      </c>
      <c r="C1270" s="648"/>
      <c r="D1270" s="282"/>
      <c r="E1270" s="659"/>
      <c r="F1270" s="659"/>
      <c r="G1270" s="281"/>
      <c r="H1270" s="281"/>
      <c r="L1270" s="283"/>
      <c r="M1270" s="283"/>
      <c r="N1270" s="283"/>
      <c r="O1270" s="283"/>
      <c r="P1270" s="654"/>
      <c r="Q1270" s="21"/>
      <c r="R1270" s="38">
        <v>500</v>
      </c>
      <c r="S1270" s="38">
        <v>500</v>
      </c>
      <c r="T1270" s="967"/>
      <c r="U1270" s="281"/>
      <c r="V1270" s="288"/>
    </row>
    <row r="1271" spans="2:22">
      <c r="B1271" s="648" t="s">
        <v>3819</v>
      </c>
      <c r="C1271" s="648"/>
      <c r="D1271" s="282"/>
      <c r="E1271" s="659"/>
      <c r="F1271" s="659"/>
      <c r="G1271" s="281"/>
      <c r="H1271" s="281"/>
      <c r="L1271" s="283"/>
      <c r="M1271" s="283"/>
      <c r="N1271" s="283"/>
      <c r="O1271" s="283"/>
      <c r="P1271" s="654"/>
      <c r="Q1271" s="21"/>
      <c r="R1271" s="38">
        <v>500</v>
      </c>
      <c r="S1271" s="38">
        <v>500</v>
      </c>
      <c r="T1271" s="967"/>
      <c r="U1271" s="281"/>
      <c r="V1271" s="288"/>
    </row>
    <row r="1272" spans="2:22" ht="30">
      <c r="B1272" s="653" t="s">
        <v>337</v>
      </c>
      <c r="C1272" s="653"/>
      <c r="D1272" s="658" t="s">
        <v>4065</v>
      </c>
      <c r="E1272" s="656">
        <v>41338</v>
      </c>
      <c r="F1272" s="656"/>
      <c r="G1272" s="654" t="s">
        <v>4064</v>
      </c>
      <c r="H1272" s="654"/>
      <c r="I1272" s="31"/>
      <c r="J1272" s="1233"/>
      <c r="K1272" s="31"/>
      <c r="L1272" s="21">
        <v>10000</v>
      </c>
      <c r="M1272" s="21"/>
      <c r="N1272" s="21">
        <f t="shared" si="240"/>
        <v>10000</v>
      </c>
      <c r="O1272" s="283"/>
      <c r="P1272" s="647" t="s">
        <v>110</v>
      </c>
      <c r="Q1272" s="1136" t="s">
        <v>105</v>
      </c>
      <c r="R1272" s="963">
        <v>10000</v>
      </c>
      <c r="S1272" s="963">
        <v>10000</v>
      </c>
      <c r="T1272" s="961"/>
      <c r="U1272" s="654"/>
      <c r="V1272" s="523" t="s">
        <v>307</v>
      </c>
    </row>
    <row r="1273" spans="2:22" ht="30">
      <c r="B1273" s="653" t="s">
        <v>380</v>
      </c>
      <c r="C1273" s="653"/>
      <c r="D1273" s="658" t="s">
        <v>4066</v>
      </c>
      <c r="E1273" s="656">
        <v>41339</v>
      </c>
      <c r="F1273" s="656"/>
      <c r="G1273" s="654" t="s">
        <v>3916</v>
      </c>
      <c r="H1273" s="654"/>
      <c r="I1273" s="31"/>
      <c r="J1273" s="1233"/>
      <c r="K1273" s="31"/>
      <c r="L1273" s="21">
        <v>15000</v>
      </c>
      <c r="M1273" s="21"/>
      <c r="N1273" s="21">
        <f t="shared" si="240"/>
        <v>15000</v>
      </c>
      <c r="O1273" s="283"/>
      <c r="P1273" s="647" t="s">
        <v>110</v>
      </c>
      <c r="Q1273" s="1136" t="s">
        <v>105</v>
      </c>
      <c r="R1273" s="963">
        <v>15000</v>
      </c>
      <c r="S1273" s="963">
        <v>15000</v>
      </c>
      <c r="T1273" s="1007">
        <v>14632</v>
      </c>
      <c r="U1273" s="654"/>
      <c r="V1273" s="523" t="s">
        <v>307</v>
      </c>
    </row>
    <row r="1274" spans="2:22" ht="30">
      <c r="B1274" s="653" t="s">
        <v>321</v>
      </c>
      <c r="C1274" s="653"/>
      <c r="D1274" s="658" t="s">
        <v>4068</v>
      </c>
      <c r="E1274" s="656">
        <v>41339</v>
      </c>
      <c r="F1274" s="656"/>
      <c r="G1274" s="654" t="s">
        <v>4067</v>
      </c>
      <c r="H1274" s="654"/>
      <c r="I1274" s="31"/>
      <c r="J1274" s="1233"/>
      <c r="K1274" s="31"/>
      <c r="L1274" s="21">
        <v>12000</v>
      </c>
      <c r="M1274" s="21"/>
      <c r="N1274" s="21">
        <f t="shared" si="240"/>
        <v>12000</v>
      </c>
      <c r="O1274" s="283"/>
      <c r="P1274" s="647" t="s">
        <v>110</v>
      </c>
      <c r="Q1274" s="1136" t="s">
        <v>105</v>
      </c>
      <c r="R1274" s="963">
        <v>12000</v>
      </c>
      <c r="S1274" s="963">
        <v>12000</v>
      </c>
      <c r="T1274" s="1092" t="s">
        <v>6470</v>
      </c>
      <c r="U1274" s="654"/>
      <c r="V1274" s="523" t="s">
        <v>307</v>
      </c>
    </row>
    <row r="1275" spans="2:22" ht="30">
      <c r="B1275" s="653" t="s">
        <v>331</v>
      </c>
      <c r="C1275" s="653"/>
      <c r="D1275" s="658" t="s">
        <v>4069</v>
      </c>
      <c r="E1275" s="656">
        <v>41339</v>
      </c>
      <c r="F1275" s="656"/>
      <c r="G1275" s="654" t="s">
        <v>1965</v>
      </c>
      <c r="H1275" s="654"/>
      <c r="I1275" s="31"/>
      <c r="J1275" s="1233"/>
      <c r="K1275" s="31"/>
      <c r="L1275" s="21">
        <v>21000</v>
      </c>
      <c r="M1275" s="21"/>
      <c r="N1275" s="21">
        <f t="shared" si="240"/>
        <v>21000</v>
      </c>
      <c r="O1275" s="283"/>
      <c r="P1275" s="647" t="s">
        <v>110</v>
      </c>
      <c r="Q1275" s="1136" t="s">
        <v>105</v>
      </c>
      <c r="R1275" s="963">
        <v>21000</v>
      </c>
      <c r="S1275" s="963">
        <v>21000</v>
      </c>
      <c r="T1275" s="961"/>
      <c r="U1275" s="654"/>
      <c r="V1275" s="523" t="s">
        <v>307</v>
      </c>
    </row>
    <row r="1276" spans="2:22" ht="30">
      <c r="B1276" s="653" t="s">
        <v>321</v>
      </c>
      <c r="C1276" s="653"/>
      <c r="D1276" s="658" t="s">
        <v>4070</v>
      </c>
      <c r="E1276" s="656">
        <v>41339</v>
      </c>
      <c r="F1276" s="656"/>
      <c r="G1276" s="654" t="s">
        <v>3639</v>
      </c>
      <c r="H1276" s="654"/>
      <c r="I1276" s="31"/>
      <c r="J1276" s="1233"/>
      <c r="K1276" s="31"/>
      <c r="L1276" s="21">
        <v>50000</v>
      </c>
      <c r="M1276" s="21"/>
      <c r="N1276" s="21">
        <f t="shared" si="240"/>
        <v>50000</v>
      </c>
      <c r="O1276" s="283"/>
      <c r="P1276" s="647" t="s">
        <v>110</v>
      </c>
      <c r="Q1276" s="1136" t="s">
        <v>105</v>
      </c>
      <c r="R1276" s="963">
        <v>50000</v>
      </c>
      <c r="S1276" s="963">
        <v>50000</v>
      </c>
      <c r="T1276" s="961"/>
      <c r="U1276" s="654"/>
      <c r="V1276" s="523" t="s">
        <v>307</v>
      </c>
    </row>
    <row r="1277" spans="2:22" ht="30">
      <c r="B1277" s="653" t="s">
        <v>343</v>
      </c>
      <c r="C1277" s="653"/>
      <c r="D1277" s="658" t="s">
        <v>4071</v>
      </c>
      <c r="E1277" s="656">
        <v>41339</v>
      </c>
      <c r="F1277" s="656"/>
      <c r="G1277" s="654" t="s">
        <v>315</v>
      </c>
      <c r="H1277" s="654"/>
      <c r="I1277" s="31"/>
      <c r="J1277" s="1233"/>
      <c r="K1277" s="31"/>
      <c r="L1277" s="21">
        <v>14000</v>
      </c>
      <c r="M1277" s="21"/>
      <c r="N1277" s="21">
        <f t="shared" si="240"/>
        <v>14000</v>
      </c>
      <c r="O1277" s="283"/>
      <c r="P1277" s="647" t="s">
        <v>110</v>
      </c>
      <c r="Q1277" s="1136" t="s">
        <v>105</v>
      </c>
      <c r="R1277" s="968"/>
      <c r="S1277" s="968"/>
      <c r="T1277" s="966"/>
      <c r="U1277" s="654"/>
      <c r="V1277" s="523" t="s">
        <v>307</v>
      </c>
    </row>
    <row r="1278" spans="2:22">
      <c r="B1278" s="648" t="s">
        <v>4072</v>
      </c>
      <c r="C1278" s="648"/>
      <c r="D1278" s="282"/>
      <c r="E1278" s="659"/>
      <c r="F1278" s="659"/>
      <c r="G1278" s="281"/>
      <c r="H1278" s="281"/>
      <c r="L1278" s="283"/>
      <c r="M1278" s="283"/>
      <c r="N1278" s="283"/>
      <c r="O1278" s="283"/>
      <c r="P1278" s="654"/>
      <c r="Q1278" s="21"/>
      <c r="R1278" s="38">
        <v>100</v>
      </c>
      <c r="S1278" s="38">
        <v>100</v>
      </c>
      <c r="T1278" s="967"/>
      <c r="U1278" s="281"/>
      <c r="V1278" s="288"/>
    </row>
    <row r="1279" spans="2:22">
      <c r="B1279" s="648" t="s">
        <v>4073</v>
      </c>
      <c r="C1279" s="648"/>
      <c r="D1279" s="282"/>
      <c r="E1279" s="659"/>
      <c r="F1279" s="659"/>
      <c r="G1279" s="281"/>
      <c r="H1279" s="281"/>
      <c r="L1279" s="283"/>
      <c r="M1279" s="283"/>
      <c r="N1279" s="283"/>
      <c r="O1279" s="283"/>
      <c r="P1279" s="654"/>
      <c r="Q1279" s="21"/>
      <c r="R1279" s="38">
        <v>100</v>
      </c>
      <c r="S1279" s="38">
        <v>100</v>
      </c>
      <c r="T1279" s="967"/>
      <c r="U1279" s="281"/>
      <c r="V1279" s="288"/>
    </row>
    <row r="1280" spans="2:22">
      <c r="B1280" s="648" t="s">
        <v>4074</v>
      </c>
      <c r="C1280" s="648"/>
      <c r="D1280" s="282"/>
      <c r="E1280" s="659"/>
      <c r="F1280" s="659"/>
      <c r="G1280" s="281"/>
      <c r="H1280" s="281"/>
      <c r="L1280" s="283"/>
      <c r="M1280" s="283"/>
      <c r="N1280" s="283"/>
      <c r="O1280" s="283"/>
      <c r="P1280" s="654"/>
      <c r="Q1280" s="21"/>
      <c r="R1280" s="38">
        <v>100</v>
      </c>
      <c r="S1280" s="38">
        <v>100</v>
      </c>
      <c r="T1280" s="967"/>
      <c r="U1280" s="281"/>
      <c r="V1280" s="288"/>
    </row>
    <row r="1281" spans="2:22">
      <c r="B1281" s="648" t="s">
        <v>4075</v>
      </c>
      <c r="C1281" s="648"/>
      <c r="D1281" s="282"/>
      <c r="E1281" s="659"/>
      <c r="F1281" s="659"/>
      <c r="G1281" s="281"/>
      <c r="H1281" s="281"/>
      <c r="L1281" s="283"/>
      <c r="M1281" s="283"/>
      <c r="N1281" s="283"/>
      <c r="O1281" s="283"/>
      <c r="P1281" s="654"/>
      <c r="Q1281" s="21"/>
      <c r="R1281" s="38">
        <v>100</v>
      </c>
      <c r="S1281" s="38">
        <v>100</v>
      </c>
      <c r="T1281" s="967"/>
      <c r="U1281" s="281"/>
      <c r="V1281" s="288"/>
    </row>
    <row r="1282" spans="2:22">
      <c r="B1282" s="648" t="s">
        <v>4076</v>
      </c>
      <c r="C1282" s="648"/>
      <c r="D1282" s="282"/>
      <c r="E1282" s="659"/>
      <c r="F1282" s="659"/>
      <c r="G1282" s="281"/>
      <c r="H1282" s="281"/>
      <c r="L1282" s="283"/>
      <c r="M1282" s="283"/>
      <c r="N1282" s="283"/>
      <c r="O1282" s="283"/>
      <c r="P1282" s="654"/>
      <c r="Q1282" s="21"/>
      <c r="R1282" s="38">
        <v>100</v>
      </c>
      <c r="S1282" s="38">
        <v>100</v>
      </c>
      <c r="T1282" s="967"/>
      <c r="U1282" s="281"/>
      <c r="V1282" s="288"/>
    </row>
    <row r="1283" spans="2:22">
      <c r="B1283" s="648" t="s">
        <v>4077</v>
      </c>
      <c r="C1283" s="648"/>
      <c r="D1283" s="282"/>
      <c r="E1283" s="659"/>
      <c r="F1283" s="659"/>
      <c r="G1283" s="281"/>
      <c r="H1283" s="281"/>
      <c r="L1283" s="283"/>
      <c r="M1283" s="283"/>
      <c r="N1283" s="283"/>
      <c r="O1283" s="283"/>
      <c r="P1283" s="654"/>
      <c r="Q1283" s="21"/>
      <c r="R1283" s="38">
        <v>100</v>
      </c>
      <c r="S1283" s="38">
        <v>100</v>
      </c>
      <c r="T1283" s="967"/>
      <c r="U1283" s="281"/>
      <c r="V1283" s="288"/>
    </row>
    <row r="1284" spans="2:22" ht="30">
      <c r="B1284" s="648" t="s">
        <v>4078</v>
      </c>
      <c r="C1284" s="648"/>
      <c r="D1284" s="282"/>
      <c r="E1284" s="659"/>
      <c r="F1284" s="659"/>
      <c r="G1284" s="281"/>
      <c r="H1284" s="281"/>
      <c r="L1284" s="283"/>
      <c r="M1284" s="283"/>
      <c r="N1284" s="283"/>
      <c r="O1284" s="283"/>
      <c r="P1284" s="654"/>
      <c r="Q1284" s="21"/>
      <c r="R1284" s="38">
        <v>100</v>
      </c>
      <c r="S1284" s="38">
        <v>100</v>
      </c>
      <c r="T1284" s="967" t="s">
        <v>6191</v>
      </c>
      <c r="U1284" s="281"/>
      <c r="V1284" s="288"/>
    </row>
    <row r="1285" spans="2:22" ht="30">
      <c r="B1285" s="648" t="s">
        <v>4079</v>
      </c>
      <c r="C1285" s="648"/>
      <c r="D1285" s="282"/>
      <c r="E1285" s="659"/>
      <c r="F1285" s="659"/>
      <c r="G1285" s="281"/>
      <c r="H1285" s="281"/>
      <c r="L1285" s="283"/>
      <c r="M1285" s="283"/>
      <c r="N1285" s="283"/>
      <c r="O1285" s="283"/>
      <c r="P1285" s="654"/>
      <c r="Q1285" s="21"/>
      <c r="R1285" s="38">
        <v>100</v>
      </c>
      <c r="S1285" s="38">
        <v>100</v>
      </c>
      <c r="T1285" s="967" t="s">
        <v>6192</v>
      </c>
      <c r="U1285" s="281"/>
      <c r="V1285" s="288"/>
    </row>
    <row r="1286" spans="2:22">
      <c r="B1286" s="648" t="s">
        <v>4080</v>
      </c>
      <c r="C1286" s="648"/>
      <c r="D1286" s="282"/>
      <c r="E1286" s="659"/>
      <c r="F1286" s="659"/>
      <c r="G1286" s="281"/>
      <c r="H1286" s="281"/>
      <c r="L1286" s="283"/>
      <c r="M1286" s="283"/>
      <c r="N1286" s="283"/>
      <c r="O1286" s="283"/>
      <c r="P1286" s="654"/>
      <c r="Q1286" s="21"/>
      <c r="R1286" s="38">
        <v>100</v>
      </c>
      <c r="S1286" s="38">
        <v>100</v>
      </c>
      <c r="T1286" s="967"/>
      <c r="U1286" s="281"/>
      <c r="V1286" s="288"/>
    </row>
    <row r="1287" spans="2:22" ht="30">
      <c r="B1287" s="648" t="s">
        <v>4081</v>
      </c>
      <c r="C1287" s="648"/>
      <c r="D1287" s="282"/>
      <c r="E1287" s="659"/>
      <c r="F1287" s="659"/>
      <c r="G1287" s="281"/>
      <c r="H1287" s="281"/>
      <c r="L1287" s="283"/>
      <c r="M1287" s="283"/>
      <c r="N1287" s="283"/>
      <c r="O1287" s="283"/>
      <c r="P1287" s="654"/>
      <c r="Q1287" s="21"/>
      <c r="R1287" s="38">
        <v>100</v>
      </c>
      <c r="S1287" s="38">
        <v>99</v>
      </c>
      <c r="T1287" s="967" t="s">
        <v>6193</v>
      </c>
      <c r="U1287" s="281"/>
      <c r="V1287" s="288"/>
    </row>
    <row r="1288" spans="2:22">
      <c r="B1288" s="648" t="s">
        <v>4082</v>
      </c>
      <c r="C1288" s="648"/>
      <c r="D1288" s="282"/>
      <c r="E1288" s="659"/>
      <c r="F1288" s="659"/>
      <c r="G1288" s="281"/>
      <c r="H1288" s="281"/>
      <c r="L1288" s="283"/>
      <c r="M1288" s="283"/>
      <c r="N1288" s="283"/>
      <c r="O1288" s="283"/>
      <c r="P1288" s="654"/>
      <c r="Q1288" s="21"/>
      <c r="R1288" s="38">
        <v>100</v>
      </c>
      <c r="S1288" s="38">
        <v>100</v>
      </c>
      <c r="T1288" s="967"/>
      <c r="U1288" s="281"/>
      <c r="V1288" s="288"/>
    </row>
    <row r="1289" spans="2:22">
      <c r="B1289" s="648" t="s">
        <v>4083</v>
      </c>
      <c r="C1289" s="648"/>
      <c r="D1289" s="282"/>
      <c r="E1289" s="659"/>
      <c r="F1289" s="659"/>
      <c r="G1289" s="281"/>
      <c r="H1289" s="281"/>
      <c r="L1289" s="283"/>
      <c r="M1289" s="283"/>
      <c r="N1289" s="283"/>
      <c r="O1289" s="283"/>
      <c r="P1289" s="654"/>
      <c r="Q1289" s="21"/>
      <c r="R1289" s="38">
        <v>100</v>
      </c>
      <c r="S1289" s="38">
        <v>100</v>
      </c>
      <c r="T1289" s="967"/>
      <c r="U1289" s="281"/>
      <c r="V1289" s="288"/>
    </row>
    <row r="1290" spans="2:22">
      <c r="B1290" s="648" t="s">
        <v>4084</v>
      </c>
      <c r="C1290" s="648"/>
      <c r="D1290" s="282"/>
      <c r="E1290" s="659"/>
      <c r="F1290" s="659"/>
      <c r="G1290" s="281"/>
      <c r="H1290" s="281"/>
      <c r="L1290" s="283"/>
      <c r="M1290" s="283"/>
      <c r="N1290" s="283"/>
      <c r="O1290" s="283"/>
      <c r="P1290" s="654"/>
      <c r="Q1290" s="21"/>
      <c r="R1290" s="38">
        <v>100</v>
      </c>
      <c r="S1290" s="38">
        <v>100</v>
      </c>
      <c r="T1290" s="967"/>
      <c r="U1290" s="281"/>
      <c r="V1290" s="288"/>
    </row>
    <row r="1291" spans="2:22">
      <c r="B1291" s="648" t="s">
        <v>4085</v>
      </c>
      <c r="C1291" s="648"/>
      <c r="D1291" s="282"/>
      <c r="E1291" s="659"/>
      <c r="F1291" s="659"/>
      <c r="G1291" s="281"/>
      <c r="H1291" s="281"/>
      <c r="L1291" s="283"/>
      <c r="M1291" s="283"/>
      <c r="N1291" s="283"/>
      <c r="O1291" s="283"/>
      <c r="P1291" s="654"/>
      <c r="Q1291" s="21"/>
      <c r="R1291" s="38">
        <v>100</v>
      </c>
      <c r="S1291" s="38">
        <v>100</v>
      </c>
      <c r="T1291" s="967"/>
      <c r="U1291" s="281"/>
      <c r="V1291" s="288"/>
    </row>
    <row r="1292" spans="2:22">
      <c r="B1292" s="648" t="s">
        <v>4086</v>
      </c>
      <c r="C1292" s="648"/>
      <c r="D1292" s="282"/>
      <c r="E1292" s="659"/>
      <c r="F1292" s="659"/>
      <c r="G1292" s="281"/>
      <c r="H1292" s="281"/>
      <c r="L1292" s="283"/>
      <c r="M1292" s="283"/>
      <c r="N1292" s="283"/>
      <c r="O1292" s="283"/>
      <c r="P1292" s="654"/>
      <c r="Q1292" s="21"/>
      <c r="R1292" s="38">
        <v>100</v>
      </c>
      <c r="S1292" s="38">
        <v>100</v>
      </c>
      <c r="T1292" s="967"/>
      <c r="U1292" s="281"/>
      <c r="V1292" s="288"/>
    </row>
    <row r="1293" spans="2:22">
      <c r="B1293" s="648" t="s">
        <v>4087</v>
      </c>
      <c r="C1293" s="648"/>
      <c r="D1293" s="282"/>
      <c r="E1293" s="659"/>
      <c r="F1293" s="659"/>
      <c r="G1293" s="281"/>
      <c r="H1293" s="281"/>
      <c r="L1293" s="283"/>
      <c r="M1293" s="283"/>
      <c r="N1293" s="283"/>
      <c r="O1293" s="283"/>
      <c r="P1293" s="654"/>
      <c r="Q1293" s="21"/>
      <c r="R1293" s="38">
        <v>100</v>
      </c>
      <c r="S1293" s="38">
        <v>100</v>
      </c>
      <c r="T1293" s="967"/>
      <c r="U1293" s="281"/>
      <c r="V1293" s="288"/>
    </row>
    <row r="1294" spans="2:22">
      <c r="B1294" s="648" t="s">
        <v>4088</v>
      </c>
      <c r="C1294" s="648"/>
      <c r="D1294" s="282"/>
      <c r="E1294" s="659"/>
      <c r="F1294" s="659"/>
      <c r="G1294" s="281"/>
      <c r="H1294" s="281"/>
      <c r="L1294" s="283"/>
      <c r="M1294" s="283"/>
      <c r="N1294" s="283"/>
      <c r="O1294" s="283"/>
      <c r="P1294" s="654"/>
      <c r="Q1294" s="21"/>
      <c r="R1294" s="38">
        <v>100</v>
      </c>
      <c r="S1294" s="38">
        <v>100</v>
      </c>
      <c r="T1294" s="967"/>
      <c r="U1294" s="281"/>
      <c r="V1294" s="288"/>
    </row>
    <row r="1295" spans="2:22">
      <c r="B1295" s="648" t="s">
        <v>4089</v>
      </c>
      <c r="C1295" s="648"/>
      <c r="D1295" s="282"/>
      <c r="E1295" s="659"/>
      <c r="F1295" s="659"/>
      <c r="G1295" s="281"/>
      <c r="H1295" s="281"/>
      <c r="L1295" s="283"/>
      <c r="M1295" s="283"/>
      <c r="N1295" s="283"/>
      <c r="O1295" s="283"/>
      <c r="P1295" s="654"/>
      <c r="Q1295" s="21"/>
      <c r="R1295" s="38">
        <v>100</v>
      </c>
      <c r="S1295" s="38">
        <v>100</v>
      </c>
      <c r="T1295" s="967"/>
      <c r="U1295" s="281"/>
      <c r="V1295" s="288"/>
    </row>
    <row r="1296" spans="2:22">
      <c r="B1296" s="648" t="s">
        <v>4090</v>
      </c>
      <c r="C1296" s="648"/>
      <c r="D1296" s="282"/>
      <c r="E1296" s="659"/>
      <c r="F1296" s="659"/>
      <c r="G1296" s="281"/>
      <c r="H1296" s="281"/>
      <c r="L1296" s="283"/>
      <c r="M1296" s="283"/>
      <c r="N1296" s="283"/>
      <c r="O1296" s="283"/>
      <c r="P1296" s="654"/>
      <c r="Q1296" s="21"/>
      <c r="R1296" s="38">
        <v>100</v>
      </c>
      <c r="S1296" s="38">
        <v>100</v>
      </c>
      <c r="T1296" s="967"/>
      <c r="U1296" s="281"/>
      <c r="V1296" s="288"/>
    </row>
    <row r="1297" spans="2:22">
      <c r="B1297" s="648" t="s">
        <v>4091</v>
      </c>
      <c r="C1297" s="648"/>
      <c r="D1297" s="282"/>
      <c r="E1297" s="659"/>
      <c r="F1297" s="659"/>
      <c r="G1297" s="281"/>
      <c r="H1297" s="281"/>
      <c r="L1297" s="283"/>
      <c r="M1297" s="283"/>
      <c r="N1297" s="283"/>
      <c r="O1297" s="283"/>
      <c r="P1297" s="654"/>
      <c r="Q1297" s="21"/>
      <c r="R1297" s="38">
        <v>100</v>
      </c>
      <c r="S1297" s="38">
        <v>100</v>
      </c>
      <c r="T1297" s="967"/>
      <c r="U1297" s="281"/>
      <c r="V1297" s="288"/>
    </row>
    <row r="1298" spans="2:22">
      <c r="B1298" s="648" t="s">
        <v>4092</v>
      </c>
      <c r="C1298" s="648"/>
      <c r="D1298" s="282"/>
      <c r="E1298" s="659"/>
      <c r="F1298" s="659"/>
      <c r="G1298" s="281"/>
      <c r="H1298" s="281"/>
      <c r="L1298" s="283"/>
      <c r="M1298" s="283"/>
      <c r="N1298" s="283"/>
      <c r="O1298" s="283"/>
      <c r="P1298" s="654"/>
      <c r="Q1298" s="21"/>
      <c r="R1298" s="38">
        <v>100</v>
      </c>
      <c r="S1298" s="38">
        <v>100</v>
      </c>
      <c r="T1298" s="967"/>
      <c r="U1298" s="281"/>
      <c r="V1298" s="288"/>
    </row>
    <row r="1299" spans="2:22">
      <c r="B1299" s="648" t="s">
        <v>4093</v>
      </c>
      <c r="C1299" s="648"/>
      <c r="D1299" s="282"/>
      <c r="E1299" s="659"/>
      <c r="F1299" s="659"/>
      <c r="G1299" s="281"/>
      <c r="H1299" s="281"/>
      <c r="L1299" s="283"/>
      <c r="M1299" s="283"/>
      <c r="N1299" s="283"/>
      <c r="O1299" s="283"/>
      <c r="P1299" s="654"/>
      <c r="Q1299" s="21"/>
      <c r="R1299" s="38">
        <v>100</v>
      </c>
      <c r="S1299" s="38">
        <v>100</v>
      </c>
      <c r="T1299" s="967"/>
      <c r="U1299" s="281"/>
      <c r="V1299" s="288"/>
    </row>
    <row r="1300" spans="2:22">
      <c r="B1300" s="648" t="s">
        <v>4094</v>
      </c>
      <c r="C1300" s="648"/>
      <c r="D1300" s="282"/>
      <c r="E1300" s="659"/>
      <c r="F1300" s="659"/>
      <c r="G1300" s="281"/>
      <c r="H1300" s="281"/>
      <c r="L1300" s="283"/>
      <c r="M1300" s="283"/>
      <c r="N1300" s="283"/>
      <c r="O1300" s="283"/>
      <c r="P1300" s="654"/>
      <c r="Q1300" s="21"/>
      <c r="R1300" s="38">
        <v>100</v>
      </c>
      <c r="S1300" s="38">
        <v>100</v>
      </c>
      <c r="T1300" s="967"/>
      <c r="U1300" s="281"/>
      <c r="V1300" s="288"/>
    </row>
    <row r="1301" spans="2:22">
      <c r="B1301" s="648" t="s">
        <v>4095</v>
      </c>
      <c r="C1301" s="648"/>
      <c r="D1301" s="282"/>
      <c r="E1301" s="659"/>
      <c r="F1301" s="659"/>
      <c r="G1301" s="281"/>
      <c r="H1301" s="281"/>
      <c r="L1301" s="283"/>
      <c r="M1301" s="283"/>
      <c r="N1301" s="283"/>
      <c r="O1301" s="283"/>
      <c r="P1301" s="654"/>
      <c r="Q1301" s="21"/>
      <c r="R1301" s="38">
        <v>100</v>
      </c>
      <c r="S1301" s="38">
        <v>100</v>
      </c>
      <c r="T1301" s="967"/>
      <c r="U1301" s="281"/>
      <c r="V1301" s="288"/>
    </row>
    <row r="1302" spans="2:22">
      <c r="B1302" s="648" t="s">
        <v>4096</v>
      </c>
      <c r="C1302" s="648"/>
      <c r="D1302" s="282"/>
      <c r="E1302" s="659"/>
      <c r="F1302" s="659"/>
      <c r="G1302" s="281"/>
      <c r="H1302" s="281"/>
      <c r="L1302" s="283"/>
      <c r="M1302" s="283"/>
      <c r="N1302" s="283"/>
      <c r="O1302" s="283"/>
      <c r="P1302" s="654"/>
      <c r="Q1302" s="21"/>
      <c r="R1302" s="38">
        <v>100</v>
      </c>
      <c r="S1302" s="38">
        <v>100</v>
      </c>
      <c r="T1302" s="967"/>
      <c r="U1302" s="281"/>
      <c r="V1302" s="288"/>
    </row>
    <row r="1303" spans="2:22">
      <c r="B1303" s="648" t="s">
        <v>4097</v>
      </c>
      <c r="C1303" s="648"/>
      <c r="D1303" s="282"/>
      <c r="E1303" s="659"/>
      <c r="F1303" s="659"/>
      <c r="G1303" s="281"/>
      <c r="H1303" s="281"/>
      <c r="L1303" s="283"/>
      <c r="M1303" s="283"/>
      <c r="N1303" s="283"/>
      <c r="O1303" s="283"/>
      <c r="P1303" s="654"/>
      <c r="Q1303" s="21"/>
      <c r="R1303" s="38">
        <v>100</v>
      </c>
      <c r="S1303" s="38">
        <v>100</v>
      </c>
      <c r="T1303" s="967"/>
      <c r="U1303" s="281"/>
      <c r="V1303" s="288"/>
    </row>
    <row r="1304" spans="2:22">
      <c r="B1304" s="648" t="s">
        <v>4098</v>
      </c>
      <c r="C1304" s="648"/>
      <c r="D1304" s="282"/>
      <c r="E1304" s="659"/>
      <c r="F1304" s="659"/>
      <c r="G1304" s="281"/>
      <c r="H1304" s="281"/>
      <c r="L1304" s="283"/>
      <c r="M1304" s="283"/>
      <c r="N1304" s="283"/>
      <c r="O1304" s="283"/>
      <c r="P1304" s="654"/>
      <c r="Q1304" s="21"/>
      <c r="R1304" s="38">
        <v>5000</v>
      </c>
      <c r="S1304" s="38">
        <v>5000</v>
      </c>
      <c r="T1304" s="967"/>
      <c r="U1304" s="281"/>
      <c r="V1304" s="288"/>
    </row>
    <row r="1305" spans="2:22">
      <c r="B1305" s="648" t="s">
        <v>4099</v>
      </c>
      <c r="C1305" s="648"/>
      <c r="D1305" s="282"/>
      <c r="E1305" s="659"/>
      <c r="F1305" s="659"/>
      <c r="G1305" s="281"/>
      <c r="H1305" s="281"/>
      <c r="L1305" s="283"/>
      <c r="M1305" s="283"/>
      <c r="N1305" s="283"/>
      <c r="O1305" s="283"/>
      <c r="P1305" s="654"/>
      <c r="Q1305" s="21"/>
      <c r="R1305" s="38">
        <v>100</v>
      </c>
      <c r="S1305" s="38">
        <v>100</v>
      </c>
      <c r="T1305" s="967"/>
      <c r="U1305" s="281"/>
      <c r="V1305" s="288"/>
    </row>
    <row r="1306" spans="2:22">
      <c r="B1306" s="648" t="s">
        <v>4100</v>
      </c>
      <c r="C1306" s="648"/>
      <c r="D1306" s="282"/>
      <c r="E1306" s="659"/>
      <c r="F1306" s="659"/>
      <c r="G1306" s="281"/>
      <c r="H1306" s="281"/>
      <c r="L1306" s="283"/>
      <c r="M1306" s="283"/>
      <c r="N1306" s="283"/>
      <c r="O1306" s="283"/>
      <c r="P1306" s="654"/>
      <c r="Q1306" s="21"/>
      <c r="R1306" s="38">
        <v>100</v>
      </c>
      <c r="S1306" s="38">
        <v>100</v>
      </c>
      <c r="T1306" s="967"/>
      <c r="U1306" s="281"/>
      <c r="V1306" s="288"/>
    </row>
    <row r="1307" spans="2:22">
      <c r="B1307" s="648" t="s">
        <v>4101</v>
      </c>
      <c r="C1307" s="648"/>
      <c r="D1307" s="282"/>
      <c r="E1307" s="659"/>
      <c r="F1307" s="659"/>
      <c r="G1307" s="281"/>
      <c r="H1307" s="281"/>
      <c r="L1307" s="283"/>
      <c r="M1307" s="283"/>
      <c r="N1307" s="283"/>
      <c r="O1307" s="283"/>
      <c r="P1307" s="654"/>
      <c r="Q1307" s="21"/>
      <c r="R1307" s="38">
        <v>100</v>
      </c>
      <c r="S1307" s="38">
        <v>100</v>
      </c>
      <c r="T1307" s="967"/>
      <c r="U1307" s="281"/>
      <c r="V1307" s="288"/>
    </row>
    <row r="1308" spans="2:22">
      <c r="B1308" s="648" t="s">
        <v>4102</v>
      </c>
      <c r="C1308" s="648"/>
      <c r="D1308" s="282"/>
      <c r="E1308" s="659"/>
      <c r="F1308" s="659"/>
      <c r="G1308" s="281"/>
      <c r="H1308" s="281"/>
      <c r="L1308" s="283"/>
      <c r="M1308" s="283"/>
      <c r="N1308" s="283"/>
      <c r="O1308" s="283"/>
      <c r="P1308" s="654"/>
      <c r="Q1308" s="21"/>
      <c r="R1308" s="38">
        <v>100</v>
      </c>
      <c r="S1308" s="38">
        <v>100</v>
      </c>
      <c r="T1308" s="967"/>
      <c r="U1308" s="281"/>
      <c r="V1308" s="288"/>
    </row>
    <row r="1309" spans="2:22" ht="60">
      <c r="B1309" s="648" t="s">
        <v>4103</v>
      </c>
      <c r="C1309" s="648"/>
      <c r="D1309" s="282"/>
      <c r="E1309" s="659"/>
      <c r="F1309" s="659"/>
      <c r="G1309" s="281"/>
      <c r="H1309" s="281"/>
      <c r="L1309" s="283"/>
      <c r="M1309" s="283"/>
      <c r="N1309" s="283"/>
      <c r="O1309" s="283"/>
      <c r="P1309" s="654"/>
      <c r="Q1309" s="21"/>
      <c r="R1309" s="38">
        <v>100</v>
      </c>
      <c r="S1309" s="38">
        <v>100</v>
      </c>
      <c r="T1309" s="967" t="s">
        <v>6194</v>
      </c>
      <c r="U1309" s="281"/>
      <c r="V1309" s="288"/>
    </row>
    <row r="1310" spans="2:22">
      <c r="B1310" s="648" t="s">
        <v>4104</v>
      </c>
      <c r="C1310" s="648"/>
      <c r="D1310" s="282"/>
      <c r="E1310" s="659"/>
      <c r="F1310" s="659"/>
      <c r="G1310" s="281"/>
      <c r="H1310" s="281"/>
      <c r="L1310" s="283"/>
      <c r="M1310" s="283"/>
      <c r="N1310" s="283"/>
      <c r="O1310" s="283"/>
      <c r="P1310" s="654"/>
      <c r="Q1310" s="21"/>
      <c r="R1310" s="38">
        <v>100</v>
      </c>
      <c r="S1310" s="38">
        <v>92</v>
      </c>
      <c r="T1310" s="967" t="s">
        <v>6195</v>
      </c>
      <c r="U1310" s="281"/>
      <c r="V1310" s="288"/>
    </row>
    <row r="1311" spans="2:22">
      <c r="B1311" s="648" t="s">
        <v>4105</v>
      </c>
      <c r="C1311" s="648"/>
      <c r="D1311" s="282"/>
      <c r="E1311" s="659"/>
      <c r="F1311" s="659"/>
      <c r="G1311" s="281"/>
      <c r="H1311" s="281"/>
      <c r="L1311" s="283"/>
      <c r="M1311" s="283"/>
      <c r="N1311" s="283"/>
      <c r="O1311" s="283"/>
      <c r="P1311" s="654"/>
      <c r="Q1311" s="21"/>
      <c r="R1311" s="38">
        <v>100</v>
      </c>
      <c r="S1311" s="38">
        <v>100</v>
      </c>
      <c r="T1311" s="967"/>
      <c r="U1311" s="281"/>
      <c r="V1311" s="288"/>
    </row>
    <row r="1312" spans="2:22">
      <c r="B1312" s="648" t="s">
        <v>4106</v>
      </c>
      <c r="C1312" s="648"/>
      <c r="D1312" s="282"/>
      <c r="E1312" s="659"/>
      <c r="F1312" s="659"/>
      <c r="G1312" s="281"/>
      <c r="H1312" s="281"/>
      <c r="L1312" s="283"/>
      <c r="M1312" s="283"/>
      <c r="N1312" s="283"/>
      <c r="O1312" s="283"/>
      <c r="P1312" s="654"/>
      <c r="Q1312" s="21"/>
      <c r="R1312" s="38">
        <v>100</v>
      </c>
      <c r="S1312" s="38">
        <v>100</v>
      </c>
      <c r="T1312" s="967"/>
      <c r="U1312" s="281"/>
      <c r="V1312" s="288"/>
    </row>
    <row r="1313" spans="2:22">
      <c r="B1313" s="648" t="s">
        <v>4107</v>
      </c>
      <c r="C1313" s="648"/>
      <c r="D1313" s="282"/>
      <c r="E1313" s="659"/>
      <c r="F1313" s="659"/>
      <c r="G1313" s="281"/>
      <c r="H1313" s="281"/>
      <c r="L1313" s="283"/>
      <c r="M1313" s="283"/>
      <c r="N1313" s="283"/>
      <c r="O1313" s="283"/>
      <c r="P1313" s="654"/>
      <c r="Q1313" s="21"/>
      <c r="R1313" s="38">
        <v>100</v>
      </c>
      <c r="S1313" s="38">
        <v>100</v>
      </c>
      <c r="T1313" s="967"/>
      <c r="U1313" s="281"/>
      <c r="V1313" s="288"/>
    </row>
    <row r="1314" spans="2:22">
      <c r="B1314" s="648" t="s">
        <v>4108</v>
      </c>
      <c r="C1314" s="648"/>
      <c r="D1314" s="282"/>
      <c r="E1314" s="659"/>
      <c r="F1314" s="659"/>
      <c r="G1314" s="281"/>
      <c r="H1314" s="281"/>
      <c r="L1314" s="283"/>
      <c r="M1314" s="283"/>
      <c r="N1314" s="283"/>
      <c r="O1314" s="283"/>
      <c r="P1314" s="654"/>
      <c r="Q1314" s="21"/>
      <c r="R1314" s="38">
        <v>100</v>
      </c>
      <c r="S1314" s="38">
        <v>100</v>
      </c>
      <c r="T1314" s="967"/>
      <c r="U1314" s="281"/>
      <c r="V1314" s="288"/>
    </row>
    <row r="1315" spans="2:22">
      <c r="B1315" s="648" t="s">
        <v>4109</v>
      </c>
      <c r="C1315" s="648"/>
      <c r="D1315" s="282"/>
      <c r="E1315" s="659"/>
      <c r="F1315" s="659"/>
      <c r="G1315" s="281"/>
      <c r="H1315" s="281"/>
      <c r="L1315" s="283"/>
      <c r="M1315" s="283"/>
      <c r="N1315" s="283"/>
      <c r="O1315" s="283"/>
      <c r="P1315" s="654"/>
      <c r="Q1315" s="21"/>
      <c r="R1315" s="38">
        <v>100</v>
      </c>
      <c r="S1315" s="38">
        <v>100</v>
      </c>
      <c r="T1315" s="967"/>
      <c r="U1315" s="281"/>
      <c r="V1315" s="288"/>
    </row>
    <row r="1316" spans="2:22">
      <c r="B1316" s="648" t="s">
        <v>4110</v>
      </c>
      <c r="C1316" s="648"/>
      <c r="D1316" s="282"/>
      <c r="E1316" s="659"/>
      <c r="F1316" s="659"/>
      <c r="G1316" s="281"/>
      <c r="H1316" s="281"/>
      <c r="L1316" s="283"/>
      <c r="M1316" s="283"/>
      <c r="N1316" s="283"/>
      <c r="O1316" s="283"/>
      <c r="P1316" s="654"/>
      <c r="Q1316" s="21"/>
      <c r="R1316" s="38">
        <v>100</v>
      </c>
      <c r="S1316" s="38">
        <v>100</v>
      </c>
      <c r="T1316" s="967"/>
      <c r="U1316" s="281"/>
      <c r="V1316" s="288"/>
    </row>
    <row r="1317" spans="2:22">
      <c r="B1317" s="648" t="s">
        <v>4111</v>
      </c>
      <c r="C1317" s="648"/>
      <c r="D1317" s="282"/>
      <c r="E1317" s="659"/>
      <c r="F1317" s="659"/>
      <c r="G1317" s="281"/>
      <c r="H1317" s="281"/>
      <c r="L1317" s="283"/>
      <c r="M1317" s="283"/>
      <c r="N1317" s="283"/>
      <c r="O1317" s="283"/>
      <c r="P1317" s="654"/>
      <c r="Q1317" s="21"/>
      <c r="R1317" s="38">
        <v>100</v>
      </c>
      <c r="S1317" s="38">
        <v>100</v>
      </c>
      <c r="T1317" s="967"/>
      <c r="U1317" s="281"/>
      <c r="V1317" s="288"/>
    </row>
    <row r="1318" spans="2:22">
      <c r="B1318" s="648" t="s">
        <v>4112</v>
      </c>
      <c r="C1318" s="648"/>
      <c r="D1318" s="282"/>
      <c r="E1318" s="659"/>
      <c r="F1318" s="659"/>
      <c r="G1318" s="281"/>
      <c r="H1318" s="281"/>
      <c r="L1318" s="283"/>
      <c r="M1318" s="283"/>
      <c r="N1318" s="283"/>
      <c r="O1318" s="283"/>
      <c r="P1318" s="654"/>
      <c r="Q1318" s="21"/>
      <c r="R1318" s="38">
        <v>100</v>
      </c>
      <c r="S1318" s="38">
        <v>100</v>
      </c>
      <c r="T1318" s="967" t="s">
        <v>4782</v>
      </c>
      <c r="U1318" s="281"/>
      <c r="V1318" s="288"/>
    </row>
    <row r="1319" spans="2:22">
      <c r="B1319" s="648" t="s">
        <v>4113</v>
      </c>
      <c r="C1319" s="648"/>
      <c r="D1319" s="282"/>
      <c r="E1319" s="659"/>
      <c r="F1319" s="659"/>
      <c r="G1319" s="281"/>
      <c r="H1319" s="281"/>
      <c r="L1319" s="283"/>
      <c r="M1319" s="283"/>
      <c r="N1319" s="283"/>
      <c r="O1319" s="283"/>
      <c r="P1319" s="654"/>
      <c r="Q1319" s="21"/>
      <c r="R1319" s="38">
        <v>100</v>
      </c>
      <c r="S1319" s="38">
        <v>100</v>
      </c>
      <c r="T1319" s="967"/>
      <c r="U1319" s="281"/>
      <c r="V1319" s="288"/>
    </row>
    <row r="1320" spans="2:22">
      <c r="B1320" s="648" t="s">
        <v>4114</v>
      </c>
      <c r="C1320" s="648"/>
      <c r="D1320" s="282"/>
      <c r="E1320" s="659"/>
      <c r="F1320" s="659"/>
      <c r="G1320" s="281"/>
      <c r="H1320" s="281"/>
      <c r="L1320" s="283"/>
      <c r="M1320" s="283"/>
      <c r="N1320" s="283"/>
      <c r="O1320" s="283"/>
      <c r="P1320" s="654"/>
      <c r="Q1320" s="21"/>
      <c r="R1320" s="38">
        <v>100</v>
      </c>
      <c r="S1320" s="38">
        <v>100</v>
      </c>
      <c r="T1320" s="967"/>
      <c r="U1320" s="281"/>
      <c r="V1320" s="288"/>
    </row>
    <row r="1321" spans="2:22">
      <c r="B1321" s="648" t="s">
        <v>4115</v>
      </c>
      <c r="C1321" s="648"/>
      <c r="D1321" s="282"/>
      <c r="E1321" s="659"/>
      <c r="F1321" s="659"/>
      <c r="G1321" s="281"/>
      <c r="H1321" s="281"/>
      <c r="L1321" s="283"/>
      <c r="M1321" s="283"/>
      <c r="N1321" s="283"/>
      <c r="O1321" s="283"/>
      <c r="P1321" s="654"/>
      <c r="Q1321" s="21"/>
      <c r="R1321" s="38">
        <v>100</v>
      </c>
      <c r="S1321" s="38">
        <v>100</v>
      </c>
      <c r="T1321" s="967"/>
      <c r="U1321" s="281"/>
      <c r="V1321" s="288"/>
    </row>
    <row r="1322" spans="2:22">
      <c r="B1322" s="648" t="s">
        <v>4116</v>
      </c>
      <c r="C1322" s="648"/>
      <c r="D1322" s="282"/>
      <c r="E1322" s="659"/>
      <c r="F1322" s="659"/>
      <c r="G1322" s="281"/>
      <c r="H1322" s="281"/>
      <c r="L1322" s="283"/>
      <c r="M1322" s="283"/>
      <c r="N1322" s="283"/>
      <c r="O1322" s="283"/>
      <c r="P1322" s="654"/>
      <c r="Q1322" s="21"/>
      <c r="R1322" s="38">
        <v>100</v>
      </c>
      <c r="S1322" s="38">
        <v>100</v>
      </c>
      <c r="T1322" s="967"/>
      <c r="U1322" s="281"/>
      <c r="V1322" s="288"/>
    </row>
    <row r="1323" spans="2:22">
      <c r="B1323" s="648" t="s">
        <v>4117</v>
      </c>
      <c r="C1323" s="648"/>
      <c r="D1323" s="282"/>
      <c r="E1323" s="659"/>
      <c r="F1323" s="659"/>
      <c r="G1323" s="281"/>
      <c r="H1323" s="281"/>
      <c r="L1323" s="283"/>
      <c r="M1323" s="283"/>
      <c r="N1323" s="283"/>
      <c r="O1323" s="283"/>
      <c r="P1323" s="654"/>
      <c r="Q1323" s="21"/>
      <c r="R1323" s="38">
        <v>100</v>
      </c>
      <c r="S1323" s="38">
        <v>100</v>
      </c>
      <c r="T1323" s="967"/>
      <c r="U1323" s="281"/>
      <c r="V1323" s="288"/>
    </row>
    <row r="1324" spans="2:22">
      <c r="B1324" s="648" t="s">
        <v>4118</v>
      </c>
      <c r="C1324" s="648"/>
      <c r="D1324" s="282"/>
      <c r="E1324" s="659"/>
      <c r="F1324" s="659"/>
      <c r="G1324" s="281"/>
      <c r="H1324" s="281"/>
      <c r="L1324" s="283"/>
      <c r="M1324" s="283"/>
      <c r="N1324" s="283"/>
      <c r="O1324" s="283"/>
      <c r="P1324" s="654"/>
      <c r="Q1324" s="21"/>
      <c r="R1324" s="38">
        <v>100</v>
      </c>
      <c r="S1324" s="38">
        <v>100</v>
      </c>
      <c r="T1324" s="967"/>
      <c r="U1324" s="281"/>
      <c r="V1324" s="288"/>
    </row>
    <row r="1325" spans="2:22" ht="30">
      <c r="B1325" s="648" t="s">
        <v>4119</v>
      </c>
      <c r="C1325" s="648"/>
      <c r="D1325" s="282"/>
      <c r="E1325" s="659"/>
      <c r="F1325" s="659"/>
      <c r="G1325" s="281"/>
      <c r="H1325" s="281"/>
      <c r="L1325" s="283"/>
      <c r="M1325" s="283"/>
      <c r="N1325" s="283"/>
      <c r="O1325" s="283"/>
      <c r="P1325" s="654"/>
      <c r="Q1325" s="21"/>
      <c r="R1325" s="38">
        <v>100</v>
      </c>
      <c r="S1325" s="38">
        <v>100</v>
      </c>
      <c r="T1325" s="967" t="s">
        <v>6196</v>
      </c>
      <c r="U1325" s="281"/>
      <c r="V1325" s="288"/>
    </row>
    <row r="1326" spans="2:22">
      <c r="B1326" s="648" t="s">
        <v>4120</v>
      </c>
      <c r="C1326" s="648"/>
      <c r="D1326" s="282"/>
      <c r="E1326" s="659"/>
      <c r="F1326" s="659"/>
      <c r="G1326" s="281"/>
      <c r="H1326" s="281"/>
      <c r="L1326" s="283"/>
      <c r="M1326" s="283"/>
      <c r="N1326" s="283"/>
      <c r="O1326" s="283"/>
      <c r="P1326" s="654"/>
      <c r="Q1326" s="21"/>
      <c r="R1326" s="38">
        <v>100</v>
      </c>
      <c r="S1326" s="38">
        <v>100</v>
      </c>
      <c r="T1326" s="967"/>
      <c r="U1326" s="281"/>
      <c r="V1326" s="288"/>
    </row>
    <row r="1327" spans="2:22">
      <c r="B1327" s="648" t="s">
        <v>4121</v>
      </c>
      <c r="C1327" s="648"/>
      <c r="D1327" s="282"/>
      <c r="E1327" s="659"/>
      <c r="F1327" s="659"/>
      <c r="G1327" s="281"/>
      <c r="H1327" s="281"/>
      <c r="L1327" s="283"/>
      <c r="M1327" s="283"/>
      <c r="N1327" s="283"/>
      <c r="O1327" s="283"/>
      <c r="P1327" s="654"/>
      <c r="Q1327" s="21"/>
      <c r="R1327" s="38">
        <v>100</v>
      </c>
      <c r="S1327" s="38">
        <v>100</v>
      </c>
      <c r="T1327" s="967"/>
      <c r="U1327" s="281"/>
      <c r="V1327" s="288"/>
    </row>
    <row r="1328" spans="2:22">
      <c r="B1328" s="648" t="s">
        <v>4122</v>
      </c>
      <c r="C1328" s="648"/>
      <c r="D1328" s="282"/>
      <c r="E1328" s="659"/>
      <c r="F1328" s="659"/>
      <c r="G1328" s="281"/>
      <c r="H1328" s="281"/>
      <c r="L1328" s="283"/>
      <c r="M1328" s="283"/>
      <c r="N1328" s="283"/>
      <c r="O1328" s="283"/>
      <c r="P1328" s="654"/>
      <c r="Q1328" s="21"/>
      <c r="R1328" s="38">
        <v>100</v>
      </c>
      <c r="S1328" s="38">
        <v>100</v>
      </c>
      <c r="T1328" s="967"/>
      <c r="U1328" s="281"/>
      <c r="V1328" s="288"/>
    </row>
    <row r="1329" spans="2:22">
      <c r="B1329" s="648" t="s">
        <v>4123</v>
      </c>
      <c r="C1329" s="648"/>
      <c r="D1329" s="282"/>
      <c r="E1329" s="659"/>
      <c r="F1329" s="659"/>
      <c r="G1329" s="281"/>
      <c r="H1329" s="281"/>
      <c r="L1329" s="283"/>
      <c r="M1329" s="283"/>
      <c r="N1329" s="283"/>
      <c r="O1329" s="283"/>
      <c r="P1329" s="654"/>
      <c r="Q1329" s="21"/>
      <c r="R1329" s="38">
        <v>100</v>
      </c>
      <c r="S1329" s="38">
        <v>100</v>
      </c>
      <c r="T1329" s="967"/>
      <c r="U1329" s="281"/>
      <c r="V1329" s="288"/>
    </row>
    <row r="1330" spans="2:22">
      <c r="B1330" s="648" t="s">
        <v>4124</v>
      </c>
      <c r="C1330" s="648"/>
      <c r="D1330" s="282"/>
      <c r="E1330" s="659"/>
      <c r="F1330" s="659"/>
      <c r="G1330" s="281"/>
      <c r="H1330" s="281"/>
      <c r="L1330" s="283"/>
      <c r="M1330" s="283"/>
      <c r="N1330" s="283"/>
      <c r="O1330" s="283"/>
      <c r="P1330" s="654"/>
      <c r="Q1330" s="21"/>
      <c r="R1330" s="38">
        <v>100</v>
      </c>
      <c r="S1330" s="38">
        <v>100</v>
      </c>
      <c r="T1330" s="967"/>
      <c r="U1330" s="281"/>
      <c r="V1330" s="288"/>
    </row>
    <row r="1331" spans="2:22">
      <c r="B1331" s="648" t="s">
        <v>4125</v>
      </c>
      <c r="C1331" s="648"/>
      <c r="D1331" s="282"/>
      <c r="E1331" s="659"/>
      <c r="F1331" s="659"/>
      <c r="G1331" s="281"/>
      <c r="H1331" s="281"/>
      <c r="L1331" s="283"/>
      <c r="M1331" s="283"/>
      <c r="N1331" s="283"/>
      <c r="O1331" s="283"/>
      <c r="P1331" s="654"/>
      <c r="Q1331" s="21"/>
      <c r="R1331" s="38">
        <v>100</v>
      </c>
      <c r="S1331" s="38">
        <v>100</v>
      </c>
      <c r="T1331" s="967"/>
      <c r="U1331" s="281"/>
      <c r="V1331" s="288"/>
    </row>
    <row r="1332" spans="2:22">
      <c r="B1332" s="648" t="s">
        <v>4126</v>
      </c>
      <c r="C1332" s="648"/>
      <c r="D1332" s="282"/>
      <c r="E1332" s="659"/>
      <c r="F1332" s="659"/>
      <c r="G1332" s="281"/>
      <c r="H1332" s="281"/>
      <c r="L1332" s="283"/>
      <c r="M1332" s="283"/>
      <c r="N1332" s="283"/>
      <c r="O1332" s="283"/>
      <c r="P1332" s="654"/>
      <c r="Q1332" s="21"/>
      <c r="R1332" s="38">
        <v>100</v>
      </c>
      <c r="S1332" s="38">
        <v>100</v>
      </c>
      <c r="T1332" s="967"/>
      <c r="U1332" s="281"/>
      <c r="V1332" s="288"/>
    </row>
    <row r="1333" spans="2:22">
      <c r="B1333" s="648" t="s">
        <v>4127</v>
      </c>
      <c r="C1333" s="648"/>
      <c r="D1333" s="282"/>
      <c r="E1333" s="659"/>
      <c r="F1333" s="659"/>
      <c r="G1333" s="281"/>
      <c r="H1333" s="281"/>
      <c r="L1333" s="283"/>
      <c r="M1333" s="283"/>
      <c r="N1333" s="283"/>
      <c r="O1333" s="283"/>
      <c r="P1333" s="654"/>
      <c r="Q1333" s="21"/>
      <c r="R1333" s="38">
        <v>100</v>
      </c>
      <c r="S1333" s="38">
        <v>100</v>
      </c>
      <c r="T1333" s="967"/>
      <c r="U1333" s="281"/>
      <c r="V1333" s="288"/>
    </row>
    <row r="1334" spans="2:22">
      <c r="B1334" s="648" t="s">
        <v>4128</v>
      </c>
      <c r="C1334" s="648"/>
      <c r="D1334" s="282"/>
      <c r="E1334" s="659"/>
      <c r="F1334" s="659"/>
      <c r="G1334" s="281"/>
      <c r="H1334" s="281"/>
      <c r="L1334" s="283"/>
      <c r="M1334" s="283"/>
      <c r="N1334" s="283"/>
      <c r="O1334" s="283"/>
      <c r="P1334" s="654"/>
      <c r="Q1334" s="21"/>
      <c r="R1334" s="38">
        <v>100</v>
      </c>
      <c r="S1334" s="38">
        <v>100</v>
      </c>
      <c r="T1334" s="967"/>
      <c r="U1334" s="281"/>
      <c r="V1334" s="288"/>
    </row>
    <row r="1335" spans="2:22">
      <c r="B1335" s="648" t="s">
        <v>4129</v>
      </c>
      <c r="C1335" s="648"/>
      <c r="D1335" s="282"/>
      <c r="E1335" s="659"/>
      <c r="F1335" s="659"/>
      <c r="G1335" s="281"/>
      <c r="H1335" s="281"/>
      <c r="L1335" s="283"/>
      <c r="M1335" s="283"/>
      <c r="N1335" s="283"/>
      <c r="O1335" s="283"/>
      <c r="P1335" s="654"/>
      <c r="Q1335" s="21"/>
      <c r="R1335" s="38">
        <v>100</v>
      </c>
      <c r="S1335" s="38">
        <v>100</v>
      </c>
      <c r="T1335" s="967"/>
      <c r="U1335" s="281"/>
      <c r="V1335" s="288"/>
    </row>
    <row r="1336" spans="2:22">
      <c r="B1336" s="648" t="s">
        <v>4130</v>
      </c>
      <c r="C1336" s="648"/>
      <c r="D1336" s="282"/>
      <c r="E1336" s="659"/>
      <c r="F1336" s="659"/>
      <c r="G1336" s="281"/>
      <c r="H1336" s="281"/>
      <c r="L1336" s="283"/>
      <c r="M1336" s="283"/>
      <c r="N1336" s="283"/>
      <c r="O1336" s="283"/>
      <c r="P1336" s="654"/>
      <c r="Q1336" s="21"/>
      <c r="R1336" s="38">
        <v>100</v>
      </c>
      <c r="S1336" s="38">
        <v>100</v>
      </c>
      <c r="T1336" s="967"/>
      <c r="U1336" s="281"/>
      <c r="V1336" s="288"/>
    </row>
    <row r="1337" spans="2:22">
      <c r="B1337" s="648" t="s">
        <v>4131</v>
      </c>
      <c r="C1337" s="648"/>
      <c r="D1337" s="282"/>
      <c r="E1337" s="659"/>
      <c r="F1337" s="659"/>
      <c r="G1337" s="281"/>
      <c r="H1337" s="281"/>
      <c r="L1337" s="283"/>
      <c r="M1337" s="283"/>
      <c r="N1337" s="283"/>
      <c r="O1337" s="283"/>
      <c r="P1337" s="654"/>
      <c r="Q1337" s="21"/>
      <c r="R1337" s="38">
        <v>100</v>
      </c>
      <c r="S1337" s="38">
        <v>100</v>
      </c>
      <c r="T1337" s="967"/>
      <c r="U1337" s="281"/>
      <c r="V1337" s="288"/>
    </row>
    <row r="1338" spans="2:22">
      <c r="B1338" s="648" t="s">
        <v>4132</v>
      </c>
      <c r="C1338" s="648"/>
      <c r="D1338" s="282"/>
      <c r="E1338" s="659"/>
      <c r="F1338" s="659"/>
      <c r="G1338" s="281"/>
      <c r="H1338" s="281"/>
      <c r="L1338" s="283"/>
      <c r="M1338" s="283"/>
      <c r="N1338" s="283"/>
      <c r="O1338" s="283"/>
      <c r="P1338" s="654"/>
      <c r="Q1338" s="21"/>
      <c r="R1338" s="38">
        <v>100</v>
      </c>
      <c r="S1338" s="38">
        <v>100</v>
      </c>
      <c r="T1338" s="967"/>
      <c r="U1338" s="281"/>
      <c r="V1338" s="288"/>
    </row>
    <row r="1339" spans="2:22">
      <c r="B1339" s="648" t="s">
        <v>4133</v>
      </c>
      <c r="C1339" s="648"/>
      <c r="D1339" s="282"/>
      <c r="E1339" s="659"/>
      <c r="F1339" s="659"/>
      <c r="G1339" s="281"/>
      <c r="H1339" s="281"/>
      <c r="L1339" s="283"/>
      <c r="M1339" s="283"/>
      <c r="N1339" s="283"/>
      <c r="O1339" s="283"/>
      <c r="P1339" s="654"/>
      <c r="Q1339" s="21"/>
      <c r="R1339" s="38">
        <v>100</v>
      </c>
      <c r="S1339" s="38">
        <v>100</v>
      </c>
      <c r="T1339" s="967"/>
      <c r="U1339" s="281"/>
      <c r="V1339" s="288"/>
    </row>
    <row r="1340" spans="2:22">
      <c r="B1340" s="648" t="s">
        <v>4134</v>
      </c>
      <c r="C1340" s="648"/>
      <c r="D1340" s="282"/>
      <c r="E1340" s="659"/>
      <c r="F1340" s="659"/>
      <c r="G1340" s="281"/>
      <c r="H1340" s="281"/>
      <c r="L1340" s="283"/>
      <c r="M1340" s="283"/>
      <c r="N1340" s="283"/>
      <c r="O1340" s="283"/>
      <c r="P1340" s="654"/>
      <c r="Q1340" s="21"/>
      <c r="R1340" s="38">
        <v>100</v>
      </c>
      <c r="S1340" s="38">
        <v>100</v>
      </c>
      <c r="T1340" s="967"/>
      <c r="U1340" s="281"/>
      <c r="V1340" s="288"/>
    </row>
    <row r="1341" spans="2:22">
      <c r="B1341" s="648" t="s">
        <v>4135</v>
      </c>
      <c r="C1341" s="648"/>
      <c r="D1341" s="282"/>
      <c r="E1341" s="659"/>
      <c r="F1341" s="659"/>
      <c r="G1341" s="281"/>
      <c r="H1341" s="281"/>
      <c r="L1341" s="283"/>
      <c r="M1341" s="283"/>
      <c r="N1341" s="283"/>
      <c r="O1341" s="283"/>
      <c r="P1341" s="654"/>
      <c r="Q1341" s="21"/>
      <c r="R1341" s="38">
        <v>100</v>
      </c>
      <c r="S1341" s="38">
        <v>100</v>
      </c>
      <c r="T1341" s="967"/>
      <c r="U1341" s="281"/>
      <c r="V1341" s="288"/>
    </row>
    <row r="1342" spans="2:22">
      <c r="B1342" s="648" t="s">
        <v>4136</v>
      </c>
      <c r="C1342" s="648"/>
      <c r="D1342" s="282"/>
      <c r="E1342" s="659"/>
      <c r="F1342" s="659"/>
      <c r="G1342" s="281"/>
      <c r="H1342" s="281"/>
      <c r="L1342" s="283"/>
      <c r="M1342" s="283"/>
      <c r="N1342" s="283"/>
      <c r="O1342" s="283"/>
      <c r="P1342" s="654"/>
      <c r="Q1342" s="21"/>
      <c r="R1342" s="38">
        <v>100</v>
      </c>
      <c r="S1342" s="38">
        <v>100</v>
      </c>
      <c r="T1342" s="967"/>
      <c r="U1342" s="281"/>
      <c r="V1342" s="288"/>
    </row>
    <row r="1343" spans="2:22">
      <c r="B1343" s="648" t="s">
        <v>4137</v>
      </c>
      <c r="C1343" s="648"/>
      <c r="D1343" s="282"/>
      <c r="E1343" s="659"/>
      <c r="F1343" s="659"/>
      <c r="G1343" s="281"/>
      <c r="H1343" s="281"/>
      <c r="L1343" s="283"/>
      <c r="M1343" s="283"/>
      <c r="N1343" s="283"/>
      <c r="O1343" s="283"/>
      <c r="P1343" s="654"/>
      <c r="Q1343" s="21"/>
      <c r="R1343" s="38">
        <v>100</v>
      </c>
      <c r="S1343" s="38">
        <v>100</v>
      </c>
      <c r="T1343" s="967"/>
      <c r="U1343" s="281"/>
      <c r="V1343" s="288"/>
    </row>
    <row r="1344" spans="2:22">
      <c r="B1344" s="648" t="s">
        <v>4138</v>
      </c>
      <c r="C1344" s="648"/>
      <c r="D1344" s="282"/>
      <c r="E1344" s="659"/>
      <c r="F1344" s="659"/>
      <c r="G1344" s="281"/>
      <c r="H1344" s="281"/>
      <c r="L1344" s="283"/>
      <c r="M1344" s="283"/>
      <c r="N1344" s="283"/>
      <c r="O1344" s="283"/>
      <c r="P1344" s="654"/>
      <c r="Q1344" s="21"/>
      <c r="R1344" s="38">
        <v>100</v>
      </c>
      <c r="S1344" s="38">
        <v>100</v>
      </c>
      <c r="T1344" s="967"/>
      <c r="U1344" s="281"/>
      <c r="V1344" s="288"/>
    </row>
    <row r="1345" spans="2:22">
      <c r="B1345" s="648" t="s">
        <v>4139</v>
      </c>
      <c r="C1345" s="648"/>
      <c r="D1345" s="282"/>
      <c r="E1345" s="659"/>
      <c r="F1345" s="659"/>
      <c r="G1345" s="281"/>
      <c r="H1345" s="281"/>
      <c r="L1345" s="283"/>
      <c r="M1345" s="283"/>
      <c r="N1345" s="283"/>
      <c r="O1345" s="283"/>
      <c r="P1345" s="654"/>
      <c r="Q1345" s="21"/>
      <c r="R1345" s="38">
        <v>100</v>
      </c>
      <c r="S1345" s="38">
        <v>100</v>
      </c>
      <c r="T1345" s="967"/>
      <c r="U1345" s="281"/>
      <c r="V1345" s="288"/>
    </row>
    <row r="1346" spans="2:22" ht="60">
      <c r="B1346" s="648" t="s">
        <v>4140</v>
      </c>
      <c r="C1346" s="648"/>
      <c r="D1346" s="282"/>
      <c r="E1346" s="659"/>
      <c r="F1346" s="659"/>
      <c r="G1346" s="281"/>
      <c r="H1346" s="281"/>
      <c r="L1346" s="283"/>
      <c r="M1346" s="283"/>
      <c r="N1346" s="283"/>
      <c r="O1346" s="283"/>
      <c r="P1346" s="654"/>
      <c r="Q1346" s="21"/>
      <c r="R1346" s="38">
        <v>100</v>
      </c>
      <c r="S1346" s="38">
        <v>100</v>
      </c>
      <c r="T1346" s="967" t="s">
        <v>6197</v>
      </c>
      <c r="U1346" s="281"/>
      <c r="V1346" s="288"/>
    </row>
    <row r="1347" spans="2:22">
      <c r="B1347" s="648" t="s">
        <v>4141</v>
      </c>
      <c r="C1347" s="648"/>
      <c r="D1347" s="282"/>
      <c r="E1347" s="659"/>
      <c r="F1347" s="659"/>
      <c r="G1347" s="281"/>
      <c r="H1347" s="281"/>
      <c r="L1347" s="283"/>
      <c r="M1347" s="283"/>
      <c r="N1347" s="283"/>
      <c r="O1347" s="283"/>
      <c r="P1347" s="654"/>
      <c r="Q1347" s="21"/>
      <c r="R1347" s="38">
        <v>100</v>
      </c>
      <c r="S1347" s="38">
        <v>100</v>
      </c>
      <c r="T1347" s="967"/>
      <c r="U1347" s="281"/>
      <c r="V1347" s="288"/>
    </row>
    <row r="1348" spans="2:22">
      <c r="B1348" s="648" t="s">
        <v>4142</v>
      </c>
      <c r="C1348" s="648"/>
      <c r="D1348" s="282"/>
      <c r="E1348" s="659"/>
      <c r="F1348" s="659"/>
      <c r="G1348" s="281"/>
      <c r="H1348" s="281"/>
      <c r="L1348" s="283"/>
      <c r="M1348" s="283"/>
      <c r="N1348" s="283"/>
      <c r="O1348" s="283"/>
      <c r="P1348" s="654"/>
      <c r="Q1348" s="21"/>
      <c r="R1348" s="38">
        <v>100</v>
      </c>
      <c r="S1348" s="38">
        <v>100</v>
      </c>
      <c r="T1348" s="967" t="s">
        <v>4783</v>
      </c>
      <c r="U1348" s="281"/>
      <c r="V1348" s="288"/>
    </row>
    <row r="1349" spans="2:22" ht="45">
      <c r="B1349" s="648" t="s">
        <v>4143</v>
      </c>
      <c r="C1349" s="648"/>
      <c r="D1349" s="282"/>
      <c r="E1349" s="659"/>
      <c r="F1349" s="659"/>
      <c r="G1349" s="281"/>
      <c r="H1349" s="281"/>
      <c r="L1349" s="283"/>
      <c r="M1349" s="283"/>
      <c r="N1349" s="283"/>
      <c r="O1349" s="283"/>
      <c r="P1349" s="654"/>
      <c r="Q1349" s="21"/>
      <c r="R1349" s="38">
        <v>100</v>
      </c>
      <c r="S1349" s="38">
        <v>100</v>
      </c>
      <c r="T1349" s="967" t="s">
        <v>6198</v>
      </c>
      <c r="U1349" s="281"/>
      <c r="V1349" s="288"/>
    </row>
    <row r="1350" spans="2:22">
      <c r="B1350" s="648" t="s">
        <v>4144</v>
      </c>
      <c r="C1350" s="648"/>
      <c r="D1350" s="282"/>
      <c r="E1350" s="659"/>
      <c r="F1350" s="659"/>
      <c r="G1350" s="281"/>
      <c r="H1350" s="281"/>
      <c r="L1350" s="283"/>
      <c r="M1350" s="283"/>
      <c r="N1350" s="283"/>
      <c r="O1350" s="283"/>
      <c r="P1350" s="654"/>
      <c r="Q1350" s="21"/>
      <c r="R1350" s="38">
        <v>100</v>
      </c>
      <c r="S1350" s="38">
        <v>100</v>
      </c>
      <c r="T1350" s="967"/>
      <c r="U1350" s="281"/>
      <c r="V1350" s="288"/>
    </row>
    <row r="1351" spans="2:22">
      <c r="B1351" s="648" t="s">
        <v>4145</v>
      </c>
      <c r="C1351" s="648"/>
      <c r="D1351" s="282"/>
      <c r="E1351" s="659"/>
      <c r="F1351" s="659"/>
      <c r="G1351" s="281"/>
      <c r="H1351" s="281"/>
      <c r="L1351" s="283"/>
      <c r="M1351" s="283"/>
      <c r="N1351" s="283"/>
      <c r="O1351" s="283"/>
      <c r="P1351" s="654"/>
      <c r="Q1351" s="21"/>
      <c r="R1351" s="38">
        <v>100</v>
      </c>
      <c r="S1351" s="38">
        <v>100</v>
      </c>
      <c r="T1351" s="967" t="s">
        <v>4782</v>
      </c>
      <c r="U1351" s="281"/>
      <c r="V1351" s="288"/>
    </row>
    <row r="1352" spans="2:22">
      <c r="B1352" s="648" t="s">
        <v>4146</v>
      </c>
      <c r="C1352" s="648"/>
      <c r="D1352" s="282"/>
      <c r="E1352" s="659"/>
      <c r="F1352" s="659"/>
      <c r="G1352" s="281"/>
      <c r="H1352" s="281"/>
      <c r="L1352" s="283"/>
      <c r="M1352" s="283"/>
      <c r="N1352" s="283"/>
      <c r="O1352" s="283"/>
      <c r="P1352" s="654"/>
      <c r="Q1352" s="21"/>
      <c r="R1352" s="38">
        <v>100</v>
      </c>
      <c r="S1352" s="38">
        <v>100</v>
      </c>
      <c r="T1352" s="967"/>
      <c r="U1352" s="281"/>
      <c r="V1352" s="288"/>
    </row>
    <row r="1353" spans="2:22">
      <c r="B1353" s="648" t="s">
        <v>4147</v>
      </c>
      <c r="C1353" s="648"/>
      <c r="D1353" s="282"/>
      <c r="E1353" s="659"/>
      <c r="F1353" s="659"/>
      <c r="G1353" s="281"/>
      <c r="H1353" s="281"/>
      <c r="L1353" s="283"/>
      <c r="M1353" s="283"/>
      <c r="N1353" s="283"/>
      <c r="O1353" s="283"/>
      <c r="P1353" s="654"/>
      <c r="Q1353" s="21"/>
      <c r="R1353" s="38">
        <v>100</v>
      </c>
      <c r="S1353" s="38">
        <v>100</v>
      </c>
      <c r="T1353" s="967"/>
      <c r="U1353" s="281"/>
      <c r="V1353" s="288"/>
    </row>
    <row r="1354" spans="2:22">
      <c r="B1354" s="648" t="s">
        <v>4148</v>
      </c>
      <c r="C1354" s="648"/>
      <c r="D1354" s="282"/>
      <c r="E1354" s="659"/>
      <c r="F1354" s="659"/>
      <c r="G1354" s="281"/>
      <c r="H1354" s="281"/>
      <c r="L1354" s="283"/>
      <c r="M1354" s="283"/>
      <c r="N1354" s="283"/>
      <c r="O1354" s="283"/>
      <c r="P1354" s="654"/>
      <c r="Q1354" s="21"/>
      <c r="R1354" s="38">
        <v>100</v>
      </c>
      <c r="S1354" s="38">
        <v>97</v>
      </c>
      <c r="T1354" s="967" t="s">
        <v>6199</v>
      </c>
      <c r="U1354" s="281"/>
      <c r="V1354" s="288"/>
    </row>
    <row r="1355" spans="2:22">
      <c r="B1355" s="648" t="s">
        <v>4149</v>
      </c>
      <c r="C1355" s="648"/>
      <c r="D1355" s="282"/>
      <c r="E1355" s="659"/>
      <c r="F1355" s="659"/>
      <c r="G1355" s="281"/>
      <c r="H1355" s="281"/>
      <c r="L1355" s="283"/>
      <c r="M1355" s="283"/>
      <c r="N1355" s="283"/>
      <c r="O1355" s="283"/>
      <c r="P1355" s="654"/>
      <c r="Q1355" s="21"/>
      <c r="R1355" s="38">
        <v>100</v>
      </c>
      <c r="S1355" s="38">
        <v>100</v>
      </c>
      <c r="T1355" s="967"/>
      <c r="U1355" s="281"/>
      <c r="V1355" s="288"/>
    </row>
    <row r="1356" spans="2:22">
      <c r="B1356" s="648" t="s">
        <v>4150</v>
      </c>
      <c r="C1356" s="648"/>
      <c r="D1356" s="282"/>
      <c r="E1356" s="659"/>
      <c r="F1356" s="659"/>
      <c r="G1356" s="281"/>
      <c r="H1356" s="281"/>
      <c r="L1356" s="283"/>
      <c r="M1356" s="283"/>
      <c r="N1356" s="283"/>
      <c r="O1356" s="283"/>
      <c r="P1356" s="654"/>
      <c r="Q1356" s="21"/>
      <c r="R1356" s="38">
        <v>100</v>
      </c>
      <c r="S1356" s="38">
        <v>100</v>
      </c>
      <c r="T1356" s="967"/>
      <c r="U1356" s="281"/>
      <c r="V1356" s="288"/>
    </row>
    <row r="1357" spans="2:22">
      <c r="B1357" s="648" t="s">
        <v>4151</v>
      </c>
      <c r="C1357" s="648"/>
      <c r="D1357" s="282"/>
      <c r="E1357" s="659"/>
      <c r="F1357" s="659"/>
      <c r="G1357" s="281"/>
      <c r="H1357" s="281"/>
      <c r="L1357" s="283"/>
      <c r="M1357" s="283"/>
      <c r="N1357" s="283"/>
      <c r="O1357" s="283"/>
      <c r="P1357" s="654"/>
      <c r="Q1357" s="21"/>
      <c r="R1357" s="38">
        <v>100</v>
      </c>
      <c r="S1357" s="38">
        <v>100</v>
      </c>
      <c r="T1357" s="967"/>
      <c r="U1357" s="281"/>
      <c r="V1357" s="288"/>
    </row>
    <row r="1358" spans="2:22">
      <c r="B1358" s="648" t="s">
        <v>4152</v>
      </c>
      <c r="C1358" s="648"/>
      <c r="D1358" s="282"/>
      <c r="E1358" s="659"/>
      <c r="F1358" s="659"/>
      <c r="G1358" s="281"/>
      <c r="H1358" s="281"/>
      <c r="L1358" s="283"/>
      <c r="M1358" s="283"/>
      <c r="N1358" s="283"/>
      <c r="O1358" s="283"/>
      <c r="P1358" s="654"/>
      <c r="Q1358" s="21"/>
      <c r="R1358" s="38">
        <v>100</v>
      </c>
      <c r="S1358" s="38">
        <v>100</v>
      </c>
      <c r="T1358" s="967"/>
      <c r="U1358" s="281"/>
      <c r="V1358" s="288"/>
    </row>
    <row r="1359" spans="2:22">
      <c r="B1359" s="648" t="s">
        <v>4153</v>
      </c>
      <c r="C1359" s="648"/>
      <c r="D1359" s="282"/>
      <c r="E1359" s="659"/>
      <c r="F1359" s="659"/>
      <c r="G1359" s="281"/>
      <c r="H1359" s="281"/>
      <c r="L1359" s="283"/>
      <c r="M1359" s="283"/>
      <c r="N1359" s="283"/>
      <c r="O1359" s="283"/>
      <c r="P1359" s="654"/>
      <c r="Q1359" s="21"/>
      <c r="R1359" s="38">
        <v>100</v>
      </c>
      <c r="S1359" s="38">
        <v>100</v>
      </c>
      <c r="T1359" s="967"/>
      <c r="U1359" s="281"/>
      <c r="V1359" s="288"/>
    </row>
    <row r="1360" spans="2:22">
      <c r="B1360" s="648" t="s">
        <v>4154</v>
      </c>
      <c r="C1360" s="648"/>
      <c r="D1360" s="282"/>
      <c r="E1360" s="659"/>
      <c r="F1360" s="659"/>
      <c r="G1360" s="281"/>
      <c r="H1360" s="281"/>
      <c r="L1360" s="283"/>
      <c r="M1360" s="283"/>
      <c r="N1360" s="283"/>
      <c r="O1360" s="283"/>
      <c r="P1360" s="654"/>
      <c r="Q1360" s="21"/>
      <c r="R1360" s="38">
        <v>100</v>
      </c>
      <c r="S1360" s="38">
        <v>100</v>
      </c>
      <c r="T1360" s="967"/>
      <c r="U1360" s="281"/>
      <c r="V1360" s="288"/>
    </row>
    <row r="1361" spans="2:22">
      <c r="B1361" s="648" t="s">
        <v>4155</v>
      </c>
      <c r="C1361" s="648"/>
      <c r="D1361" s="282"/>
      <c r="E1361" s="659"/>
      <c r="F1361" s="659"/>
      <c r="G1361" s="281"/>
      <c r="H1361" s="281"/>
      <c r="L1361" s="283"/>
      <c r="M1361" s="283"/>
      <c r="N1361" s="283"/>
      <c r="O1361" s="283"/>
      <c r="P1361" s="654"/>
      <c r="Q1361" s="21"/>
      <c r="R1361" s="38">
        <v>100</v>
      </c>
      <c r="S1361" s="38">
        <v>100</v>
      </c>
      <c r="T1361" s="967"/>
      <c r="U1361" s="281"/>
      <c r="V1361" s="288"/>
    </row>
    <row r="1362" spans="2:22">
      <c r="B1362" s="648" t="s">
        <v>4156</v>
      </c>
      <c r="C1362" s="648"/>
      <c r="D1362" s="282"/>
      <c r="E1362" s="659"/>
      <c r="F1362" s="659"/>
      <c r="G1362" s="281"/>
      <c r="H1362" s="281"/>
      <c r="L1362" s="283"/>
      <c r="M1362" s="283"/>
      <c r="N1362" s="283"/>
      <c r="O1362" s="283"/>
      <c r="P1362" s="654"/>
      <c r="Q1362" s="21"/>
      <c r="R1362" s="38">
        <v>100</v>
      </c>
      <c r="S1362" s="38">
        <v>100</v>
      </c>
      <c r="T1362" s="967"/>
      <c r="U1362" s="281"/>
      <c r="V1362" s="288"/>
    </row>
    <row r="1363" spans="2:22">
      <c r="B1363" s="648" t="s">
        <v>4157</v>
      </c>
      <c r="C1363" s="648"/>
      <c r="D1363" s="282"/>
      <c r="E1363" s="659"/>
      <c r="F1363" s="659"/>
      <c r="G1363" s="281"/>
      <c r="H1363" s="281"/>
      <c r="L1363" s="283"/>
      <c r="M1363" s="283"/>
      <c r="N1363" s="283"/>
      <c r="O1363" s="283"/>
      <c r="P1363" s="654"/>
      <c r="Q1363" s="21"/>
      <c r="R1363" s="38">
        <v>100</v>
      </c>
      <c r="S1363" s="38">
        <v>100</v>
      </c>
      <c r="T1363" s="967"/>
      <c r="U1363" s="281"/>
      <c r="V1363" s="288"/>
    </row>
    <row r="1364" spans="2:22">
      <c r="B1364" s="648" t="s">
        <v>4158</v>
      </c>
      <c r="C1364" s="648"/>
      <c r="D1364" s="282"/>
      <c r="E1364" s="659"/>
      <c r="F1364" s="659"/>
      <c r="G1364" s="281"/>
      <c r="H1364" s="281"/>
      <c r="L1364" s="283"/>
      <c r="M1364" s="283"/>
      <c r="N1364" s="283"/>
      <c r="O1364" s="283"/>
      <c r="P1364" s="654"/>
      <c r="Q1364" s="21"/>
      <c r="R1364" s="38">
        <v>100</v>
      </c>
      <c r="S1364" s="38">
        <v>100</v>
      </c>
      <c r="T1364" s="967"/>
      <c r="U1364" s="281"/>
      <c r="V1364" s="288"/>
    </row>
    <row r="1365" spans="2:22" ht="75">
      <c r="B1365" s="648" t="s">
        <v>4159</v>
      </c>
      <c r="C1365" s="648"/>
      <c r="D1365" s="282"/>
      <c r="E1365" s="659"/>
      <c r="F1365" s="659"/>
      <c r="G1365" s="281"/>
      <c r="H1365" s="281"/>
      <c r="L1365" s="283"/>
      <c r="M1365" s="283"/>
      <c r="N1365" s="283"/>
      <c r="O1365" s="283"/>
      <c r="P1365" s="654"/>
      <c r="Q1365" s="21"/>
      <c r="R1365" s="38">
        <v>100</v>
      </c>
      <c r="S1365" s="38">
        <v>100</v>
      </c>
      <c r="T1365" s="967" t="s">
        <v>4784</v>
      </c>
      <c r="U1365" s="281"/>
      <c r="V1365" s="288"/>
    </row>
    <row r="1366" spans="2:22">
      <c r="B1366" s="648" t="s">
        <v>4160</v>
      </c>
      <c r="C1366" s="648"/>
      <c r="D1366" s="282"/>
      <c r="E1366" s="659"/>
      <c r="F1366" s="659"/>
      <c r="G1366" s="281"/>
      <c r="H1366" s="281"/>
      <c r="L1366" s="283"/>
      <c r="M1366" s="283"/>
      <c r="N1366" s="283"/>
      <c r="O1366" s="283"/>
      <c r="P1366" s="654"/>
      <c r="Q1366" s="21"/>
      <c r="R1366" s="38">
        <v>100</v>
      </c>
      <c r="S1366" s="38">
        <v>100</v>
      </c>
      <c r="T1366" s="967"/>
      <c r="U1366" s="281"/>
      <c r="V1366" s="288"/>
    </row>
    <row r="1367" spans="2:22">
      <c r="B1367" s="648" t="s">
        <v>4161</v>
      </c>
      <c r="C1367" s="648"/>
      <c r="D1367" s="282"/>
      <c r="E1367" s="659"/>
      <c r="F1367" s="659"/>
      <c r="G1367" s="281"/>
      <c r="H1367" s="281"/>
      <c r="L1367" s="283"/>
      <c r="M1367" s="283"/>
      <c r="N1367" s="283"/>
      <c r="O1367" s="283"/>
      <c r="P1367" s="654"/>
      <c r="Q1367" s="21"/>
      <c r="R1367" s="38">
        <v>100</v>
      </c>
      <c r="S1367" s="38">
        <v>100</v>
      </c>
      <c r="T1367" s="967"/>
      <c r="U1367" s="281"/>
      <c r="V1367" s="288"/>
    </row>
    <row r="1368" spans="2:22">
      <c r="B1368" s="648" t="s">
        <v>4162</v>
      </c>
      <c r="C1368" s="648"/>
      <c r="D1368" s="282"/>
      <c r="E1368" s="659"/>
      <c r="F1368" s="659"/>
      <c r="G1368" s="281"/>
      <c r="H1368" s="281"/>
      <c r="L1368" s="283"/>
      <c r="M1368" s="283"/>
      <c r="N1368" s="283"/>
      <c r="O1368" s="283"/>
      <c r="P1368" s="654"/>
      <c r="Q1368" s="21"/>
      <c r="R1368" s="38">
        <v>100</v>
      </c>
      <c r="S1368" s="38">
        <v>100</v>
      </c>
      <c r="T1368" s="967"/>
      <c r="U1368" s="281"/>
      <c r="V1368" s="288"/>
    </row>
    <row r="1369" spans="2:22" ht="30">
      <c r="B1369" s="653" t="s">
        <v>304</v>
      </c>
      <c r="C1369" s="653"/>
      <c r="D1369" s="658" t="s">
        <v>4164</v>
      </c>
      <c r="E1369" s="656">
        <v>41340</v>
      </c>
      <c r="F1369" s="656"/>
      <c r="G1369" s="654" t="s">
        <v>4163</v>
      </c>
      <c r="H1369" s="654"/>
      <c r="I1369" s="31"/>
      <c r="J1369" s="1233"/>
      <c r="K1369" s="31"/>
      <c r="L1369" s="21">
        <v>1000</v>
      </c>
      <c r="M1369" s="21"/>
      <c r="N1369" s="21">
        <f t="shared" si="240"/>
        <v>1000</v>
      </c>
      <c r="O1369" s="283"/>
      <c r="P1369" s="647" t="s">
        <v>110</v>
      </c>
      <c r="Q1369" s="1136" t="s">
        <v>105</v>
      </c>
      <c r="R1369" s="963">
        <v>1000</v>
      </c>
      <c r="S1369" s="963">
        <v>1000</v>
      </c>
      <c r="T1369" s="961"/>
      <c r="U1369" s="654"/>
      <c r="V1369" s="523" t="s">
        <v>307</v>
      </c>
    </row>
    <row r="1370" spans="2:22" ht="30">
      <c r="B1370" s="661" t="s">
        <v>314</v>
      </c>
      <c r="C1370" s="661"/>
      <c r="D1370" s="658" t="s">
        <v>4165</v>
      </c>
      <c r="E1370" s="657">
        <v>41341</v>
      </c>
      <c r="F1370" s="657"/>
      <c r="G1370" s="654" t="s">
        <v>361</v>
      </c>
      <c r="H1370" s="654"/>
      <c r="I1370" s="31"/>
      <c r="J1370" s="1233"/>
      <c r="K1370" s="31"/>
      <c r="L1370" s="21">
        <v>950</v>
      </c>
      <c r="M1370" s="21"/>
      <c r="N1370" s="21">
        <f t="shared" si="240"/>
        <v>950</v>
      </c>
      <c r="O1370" s="283"/>
      <c r="P1370" s="647" t="s">
        <v>110</v>
      </c>
      <c r="Q1370" s="1136" t="s">
        <v>105</v>
      </c>
      <c r="R1370" s="963">
        <v>950</v>
      </c>
      <c r="S1370" s="963">
        <v>950</v>
      </c>
      <c r="T1370" s="961"/>
      <c r="U1370" s="654"/>
      <c r="V1370" s="523" t="s">
        <v>307</v>
      </c>
    </row>
    <row r="1371" spans="2:22" ht="30">
      <c r="B1371" s="653" t="s">
        <v>340</v>
      </c>
      <c r="C1371" s="653"/>
      <c r="D1371" s="658" t="s">
        <v>4166</v>
      </c>
      <c r="E1371" s="656">
        <v>41341</v>
      </c>
      <c r="F1371" s="656"/>
      <c r="G1371" s="654" t="s">
        <v>341</v>
      </c>
      <c r="H1371" s="654"/>
      <c r="I1371" s="31"/>
      <c r="J1371" s="1233"/>
      <c r="K1371" s="31"/>
      <c r="L1371" s="21">
        <v>20000</v>
      </c>
      <c r="M1371" s="21"/>
      <c r="N1371" s="21">
        <f t="shared" si="240"/>
        <v>20000</v>
      </c>
      <c r="O1371" s="283"/>
      <c r="P1371" s="647" t="s">
        <v>110</v>
      </c>
      <c r="Q1371" s="1136" t="s">
        <v>105</v>
      </c>
      <c r="R1371" s="963">
        <v>20000</v>
      </c>
      <c r="S1371" s="963">
        <v>20000</v>
      </c>
      <c r="T1371" s="961"/>
      <c r="U1371" s="654"/>
      <c r="V1371" s="523" t="s">
        <v>307</v>
      </c>
    </row>
    <row r="1372" spans="2:22" ht="30">
      <c r="B1372" s="653" t="s">
        <v>380</v>
      </c>
      <c r="C1372" s="653"/>
      <c r="D1372" s="658" t="s">
        <v>4167</v>
      </c>
      <c r="E1372" s="656">
        <v>41341</v>
      </c>
      <c r="F1372" s="656"/>
      <c r="G1372" s="654" t="s">
        <v>3910</v>
      </c>
      <c r="H1372" s="654"/>
      <c r="I1372" s="31"/>
      <c r="J1372" s="1233"/>
      <c r="K1372" s="31"/>
      <c r="L1372" s="21">
        <v>7950</v>
      </c>
      <c r="M1372" s="21"/>
      <c r="N1372" s="21">
        <f t="shared" si="240"/>
        <v>7950</v>
      </c>
      <c r="O1372" s="283"/>
      <c r="P1372" s="647" t="s">
        <v>110</v>
      </c>
      <c r="Q1372" s="1136" t="s">
        <v>105</v>
      </c>
      <c r="R1372" s="963">
        <v>7950</v>
      </c>
      <c r="S1372" s="963">
        <v>7950</v>
      </c>
      <c r="T1372" s="1007">
        <v>7250</v>
      </c>
      <c r="U1372" s="654"/>
      <c r="V1372" s="523" t="s">
        <v>307</v>
      </c>
    </row>
    <row r="1373" spans="2:22" ht="30">
      <c r="B1373" s="653" t="s">
        <v>314</v>
      </c>
      <c r="C1373" s="653"/>
      <c r="D1373" s="658" t="s">
        <v>4168</v>
      </c>
      <c r="E1373" s="656">
        <v>41341</v>
      </c>
      <c r="F1373" s="656"/>
      <c r="G1373" s="654" t="s">
        <v>3776</v>
      </c>
      <c r="H1373" s="654"/>
      <c r="I1373" s="31"/>
      <c r="J1373" s="1233"/>
      <c r="K1373" s="31"/>
      <c r="L1373" s="21">
        <v>30000</v>
      </c>
      <c r="M1373" s="21"/>
      <c r="N1373" s="21">
        <f t="shared" si="240"/>
        <v>30000</v>
      </c>
      <c r="O1373" s="283"/>
      <c r="P1373" s="647" t="s">
        <v>110</v>
      </c>
      <c r="Q1373" s="1136" t="s">
        <v>105</v>
      </c>
      <c r="R1373" s="963">
        <v>30000</v>
      </c>
      <c r="S1373" s="963">
        <v>30000</v>
      </c>
      <c r="T1373" s="961"/>
      <c r="U1373" s="654"/>
      <c r="V1373" s="523" t="s">
        <v>307</v>
      </c>
    </row>
    <row r="1374" spans="2:22" ht="30">
      <c r="B1374" s="653" t="s">
        <v>319</v>
      </c>
      <c r="C1374" s="653"/>
      <c r="D1374" s="658" t="s">
        <v>4170</v>
      </c>
      <c r="E1374" s="656">
        <v>41341</v>
      </c>
      <c r="F1374" s="656"/>
      <c r="G1374" s="654" t="s">
        <v>4169</v>
      </c>
      <c r="H1374" s="654"/>
      <c r="I1374" s="31"/>
      <c r="J1374" s="1233"/>
      <c r="K1374" s="31"/>
      <c r="L1374" s="21">
        <v>7500</v>
      </c>
      <c r="M1374" s="21"/>
      <c r="N1374" s="21">
        <f t="shared" si="240"/>
        <v>7500</v>
      </c>
      <c r="O1374" s="283"/>
      <c r="P1374" s="647" t="s">
        <v>110</v>
      </c>
      <c r="Q1374" s="1136" t="s">
        <v>105</v>
      </c>
      <c r="R1374" s="963">
        <v>7500</v>
      </c>
      <c r="S1374" s="963">
        <v>7500</v>
      </c>
      <c r="T1374" s="961"/>
      <c r="U1374" s="654"/>
      <c r="V1374" s="523" t="s">
        <v>307</v>
      </c>
    </row>
    <row r="1375" spans="2:22" ht="30">
      <c r="B1375" s="653" t="s">
        <v>321</v>
      </c>
      <c r="C1375" s="653"/>
      <c r="D1375" s="658" t="s">
        <v>4172</v>
      </c>
      <c r="E1375" s="656">
        <v>41346</v>
      </c>
      <c r="F1375" s="656"/>
      <c r="G1375" s="654" t="s">
        <v>4171</v>
      </c>
      <c r="H1375" s="654"/>
      <c r="I1375" s="31"/>
      <c r="J1375" s="1233"/>
      <c r="K1375" s="31"/>
      <c r="L1375" s="21">
        <v>10000</v>
      </c>
      <c r="M1375" s="21"/>
      <c r="N1375" s="21">
        <f t="shared" si="240"/>
        <v>10000</v>
      </c>
      <c r="O1375" s="283"/>
      <c r="P1375" s="647" t="s">
        <v>110</v>
      </c>
      <c r="Q1375" s="1136" t="s">
        <v>105</v>
      </c>
      <c r="R1375" s="963">
        <v>10000</v>
      </c>
      <c r="S1375" s="963">
        <v>10000</v>
      </c>
      <c r="T1375" s="961"/>
      <c r="U1375" s="654"/>
      <c r="V1375" s="523" t="s">
        <v>307</v>
      </c>
    </row>
    <row r="1376" spans="2:22" ht="30">
      <c r="B1376" s="653" t="s">
        <v>314</v>
      </c>
      <c r="C1376" s="653"/>
      <c r="D1376" s="658" t="s">
        <v>4173</v>
      </c>
      <c r="E1376" s="656">
        <v>41347</v>
      </c>
      <c r="F1376" s="656"/>
      <c r="G1376" s="654" t="s">
        <v>361</v>
      </c>
      <c r="H1376" s="654"/>
      <c r="I1376" s="31"/>
      <c r="J1376" s="1233"/>
      <c r="K1376" s="31"/>
      <c r="L1376" s="21">
        <v>816</v>
      </c>
      <c r="M1376" s="21"/>
      <c r="N1376" s="21">
        <f t="shared" si="240"/>
        <v>816</v>
      </c>
      <c r="O1376" s="283"/>
      <c r="P1376" s="647" t="s">
        <v>110</v>
      </c>
      <c r="Q1376" s="1136" t="s">
        <v>105</v>
      </c>
      <c r="R1376" s="963">
        <v>816</v>
      </c>
      <c r="S1376" s="963">
        <v>816</v>
      </c>
      <c r="T1376" s="961"/>
      <c r="U1376" s="654"/>
      <c r="V1376" s="523" t="s">
        <v>307</v>
      </c>
    </row>
    <row r="1377" spans="2:22" ht="30">
      <c r="B1377" s="653" t="s">
        <v>3521</v>
      </c>
      <c r="C1377" s="653"/>
      <c r="D1377" s="658" t="s">
        <v>4174</v>
      </c>
      <c r="E1377" s="656">
        <v>41347</v>
      </c>
      <c r="F1377" s="656"/>
      <c r="G1377" s="654" t="s">
        <v>315</v>
      </c>
      <c r="H1377" s="654"/>
      <c r="I1377" s="31"/>
      <c r="J1377" s="1233"/>
      <c r="K1377" s="31"/>
      <c r="L1377" s="21">
        <v>22500</v>
      </c>
      <c r="M1377" s="21"/>
      <c r="N1377" s="21">
        <f t="shared" si="240"/>
        <v>22500</v>
      </c>
      <c r="O1377" s="283"/>
      <c r="P1377" s="647" t="s">
        <v>110</v>
      </c>
      <c r="Q1377" s="1136" t="s">
        <v>105</v>
      </c>
      <c r="R1377" s="968"/>
      <c r="S1377" s="968"/>
      <c r="T1377" s="961"/>
      <c r="U1377" s="654"/>
      <c r="V1377" s="523" t="s">
        <v>307</v>
      </c>
    </row>
    <row r="1378" spans="2:22">
      <c r="B1378" s="648" t="s">
        <v>4175</v>
      </c>
      <c r="C1378" s="648"/>
      <c r="D1378" s="282"/>
      <c r="E1378" s="659"/>
      <c r="F1378" s="659"/>
      <c r="G1378" s="281"/>
      <c r="H1378" s="281"/>
      <c r="L1378" s="283"/>
      <c r="M1378" s="283"/>
      <c r="N1378" s="283"/>
      <c r="O1378" s="283"/>
      <c r="P1378" s="654"/>
      <c r="Q1378" s="21"/>
      <c r="R1378" s="1019">
        <v>1000</v>
      </c>
      <c r="S1378" s="1019">
        <v>1000</v>
      </c>
      <c r="T1378" s="962"/>
      <c r="U1378" s="281"/>
      <c r="V1378" s="288"/>
    </row>
    <row r="1379" spans="2:22">
      <c r="B1379" s="648" t="s">
        <v>4176</v>
      </c>
      <c r="C1379" s="648"/>
      <c r="D1379" s="282"/>
      <c r="E1379" s="659"/>
      <c r="F1379" s="659"/>
      <c r="G1379" s="281"/>
      <c r="H1379" s="281"/>
      <c r="L1379" s="283"/>
      <c r="M1379" s="283"/>
      <c r="N1379" s="283"/>
      <c r="O1379" s="283"/>
      <c r="P1379" s="654"/>
      <c r="Q1379" s="21"/>
      <c r="R1379" s="1019">
        <v>2000</v>
      </c>
      <c r="S1379" s="1019">
        <v>2000</v>
      </c>
      <c r="T1379" s="962"/>
      <c r="U1379" s="281"/>
      <c r="V1379" s="288"/>
    </row>
    <row r="1380" spans="2:22">
      <c r="B1380" s="648" t="s">
        <v>4177</v>
      </c>
      <c r="C1380" s="648"/>
      <c r="D1380" s="282"/>
      <c r="E1380" s="659"/>
      <c r="F1380" s="659"/>
      <c r="G1380" s="281"/>
      <c r="H1380" s="281"/>
      <c r="L1380" s="283"/>
      <c r="M1380" s="283"/>
      <c r="N1380" s="283"/>
      <c r="O1380" s="283"/>
      <c r="P1380" s="654"/>
      <c r="Q1380" s="21"/>
      <c r="R1380" s="1019">
        <v>1500</v>
      </c>
      <c r="S1380" s="1019">
        <v>1500</v>
      </c>
      <c r="T1380" s="962"/>
      <c r="U1380" s="281"/>
      <c r="V1380" s="288"/>
    </row>
    <row r="1381" spans="2:22">
      <c r="B1381" s="648" t="s">
        <v>4178</v>
      </c>
      <c r="C1381" s="648"/>
      <c r="D1381" s="282"/>
      <c r="E1381" s="659"/>
      <c r="F1381" s="659"/>
      <c r="G1381" s="281"/>
      <c r="H1381" s="281"/>
      <c r="L1381" s="283"/>
      <c r="M1381" s="283"/>
      <c r="N1381" s="283"/>
      <c r="O1381" s="283"/>
      <c r="P1381" s="654"/>
      <c r="Q1381" s="21"/>
      <c r="R1381" s="1019">
        <v>1000</v>
      </c>
      <c r="S1381" s="1019">
        <v>1000</v>
      </c>
      <c r="T1381" s="962"/>
      <c r="U1381" s="281"/>
      <c r="V1381" s="288"/>
    </row>
    <row r="1382" spans="2:22">
      <c r="B1382" s="648" t="s">
        <v>4179</v>
      </c>
      <c r="C1382" s="648"/>
      <c r="D1382" s="282"/>
      <c r="E1382" s="659"/>
      <c r="F1382" s="659"/>
      <c r="G1382" s="281"/>
      <c r="H1382" s="281"/>
      <c r="L1382" s="283"/>
      <c r="M1382" s="283"/>
      <c r="N1382" s="283"/>
      <c r="O1382" s="283"/>
      <c r="P1382" s="654"/>
      <c r="Q1382" s="21"/>
      <c r="R1382" s="1019">
        <v>1000</v>
      </c>
      <c r="S1382" s="1019">
        <v>1000</v>
      </c>
      <c r="T1382" s="962"/>
      <c r="U1382" s="281"/>
      <c r="V1382" s="288"/>
    </row>
    <row r="1383" spans="2:22">
      <c r="B1383" s="648" t="s">
        <v>4180</v>
      </c>
      <c r="C1383" s="648"/>
      <c r="D1383" s="282"/>
      <c r="E1383" s="659"/>
      <c r="F1383" s="659"/>
      <c r="G1383" s="281"/>
      <c r="H1383" s="281"/>
      <c r="L1383" s="283"/>
      <c r="M1383" s="283"/>
      <c r="N1383" s="283"/>
      <c r="O1383" s="283"/>
      <c r="P1383" s="654"/>
      <c r="Q1383" s="21"/>
      <c r="R1383" s="1019">
        <v>2000</v>
      </c>
      <c r="S1383" s="1019">
        <v>2000</v>
      </c>
      <c r="T1383" s="962"/>
      <c r="U1383" s="281"/>
      <c r="V1383" s="288"/>
    </row>
    <row r="1384" spans="2:22">
      <c r="B1384" s="648" t="s">
        <v>4181</v>
      </c>
      <c r="C1384" s="648"/>
      <c r="D1384" s="282"/>
      <c r="E1384" s="659"/>
      <c r="F1384" s="659"/>
      <c r="G1384" s="281"/>
      <c r="H1384" s="281"/>
      <c r="L1384" s="283"/>
      <c r="M1384" s="283"/>
      <c r="N1384" s="283"/>
      <c r="O1384" s="283"/>
      <c r="P1384" s="654"/>
      <c r="Q1384" s="21"/>
      <c r="R1384" s="1019">
        <v>14000</v>
      </c>
      <c r="S1384" s="1019">
        <v>14000</v>
      </c>
      <c r="T1384" s="962"/>
      <c r="U1384" s="281"/>
      <c r="V1384" s="288"/>
    </row>
    <row r="1385" spans="2:22" ht="30">
      <c r="B1385" s="653" t="s">
        <v>319</v>
      </c>
      <c r="C1385" s="653"/>
      <c r="D1385" s="658" t="s">
        <v>4183</v>
      </c>
      <c r="E1385" s="656">
        <v>41347</v>
      </c>
      <c r="F1385" s="656"/>
      <c r="G1385" s="654" t="s">
        <v>4182</v>
      </c>
      <c r="H1385" s="654"/>
      <c r="I1385" s="31"/>
      <c r="J1385" s="1233"/>
      <c r="K1385" s="31"/>
      <c r="L1385" s="21">
        <v>4610</v>
      </c>
      <c r="M1385" s="21"/>
      <c r="N1385" s="21">
        <f t="shared" si="240"/>
        <v>4610</v>
      </c>
      <c r="O1385" s="283"/>
      <c r="P1385" s="647" t="s">
        <v>110</v>
      </c>
      <c r="Q1385" s="1136" t="s">
        <v>105</v>
      </c>
      <c r="R1385" s="963">
        <v>4610</v>
      </c>
      <c r="S1385" s="963">
        <v>4610</v>
      </c>
      <c r="T1385" s="961"/>
      <c r="U1385" s="654"/>
      <c r="V1385" s="523" t="s">
        <v>307</v>
      </c>
    </row>
    <row r="1386" spans="2:22" ht="30">
      <c r="B1386" s="653" t="s">
        <v>337</v>
      </c>
      <c r="C1386" s="653"/>
      <c r="D1386" s="658" t="s">
        <v>4185</v>
      </c>
      <c r="E1386" s="656">
        <v>41347</v>
      </c>
      <c r="F1386" s="656"/>
      <c r="G1386" s="654" t="s">
        <v>4184</v>
      </c>
      <c r="H1386" s="654"/>
      <c r="I1386" s="31"/>
      <c r="J1386" s="1233"/>
      <c r="K1386" s="31"/>
      <c r="L1386" s="21">
        <v>7000</v>
      </c>
      <c r="M1386" s="21"/>
      <c r="N1386" s="21">
        <f t="shared" si="240"/>
        <v>7000</v>
      </c>
      <c r="O1386" s="283"/>
      <c r="P1386" s="647" t="s">
        <v>110</v>
      </c>
      <c r="Q1386" s="1136" t="s">
        <v>105</v>
      </c>
      <c r="R1386" s="963">
        <v>7000</v>
      </c>
      <c r="S1386" s="963">
        <v>7000</v>
      </c>
      <c r="T1386" s="961"/>
      <c r="U1386" s="654"/>
      <c r="V1386" s="523" t="s">
        <v>307</v>
      </c>
    </row>
    <row r="1387" spans="2:22" ht="30">
      <c r="B1387" s="653" t="s">
        <v>343</v>
      </c>
      <c r="C1387" s="653"/>
      <c r="D1387" s="658" t="s">
        <v>4187</v>
      </c>
      <c r="E1387" s="656">
        <v>41347</v>
      </c>
      <c r="F1387" s="656"/>
      <c r="G1387" s="654" t="s">
        <v>4186</v>
      </c>
      <c r="H1387" s="654"/>
      <c r="I1387" s="31"/>
      <c r="J1387" s="1233"/>
      <c r="K1387" s="31"/>
      <c r="L1387" s="21">
        <v>8750</v>
      </c>
      <c r="M1387" s="21"/>
      <c r="N1387" s="21">
        <f t="shared" si="240"/>
        <v>8750</v>
      </c>
      <c r="O1387" s="283"/>
      <c r="P1387" s="647" t="s">
        <v>110</v>
      </c>
      <c r="Q1387" s="1136" t="s">
        <v>105</v>
      </c>
      <c r="R1387" s="968"/>
      <c r="S1387" s="968"/>
      <c r="T1387" s="966"/>
      <c r="U1387" s="654"/>
      <c r="V1387" s="523" t="s">
        <v>307</v>
      </c>
    </row>
    <row r="1388" spans="2:22">
      <c r="B1388" s="648" t="s">
        <v>2425</v>
      </c>
      <c r="C1388" s="648"/>
      <c r="D1388" s="282"/>
      <c r="E1388" s="659"/>
      <c r="F1388" s="659"/>
      <c r="G1388" s="281"/>
      <c r="H1388" s="281"/>
      <c r="L1388" s="283"/>
      <c r="M1388" s="283"/>
      <c r="N1388" s="283"/>
      <c r="O1388" s="283"/>
      <c r="P1388" s="654"/>
      <c r="Q1388" s="21"/>
      <c r="R1388" s="38">
        <v>5650</v>
      </c>
      <c r="S1388" s="38">
        <v>5650</v>
      </c>
      <c r="T1388" s="967"/>
      <c r="U1388" s="281"/>
      <c r="V1388" s="288"/>
    </row>
    <row r="1389" spans="2:22" ht="30">
      <c r="B1389" s="648" t="s">
        <v>4188</v>
      </c>
      <c r="C1389" s="648"/>
      <c r="D1389" s="282"/>
      <c r="E1389" s="659"/>
      <c r="F1389" s="659"/>
      <c r="G1389" s="281"/>
      <c r="H1389" s="281"/>
      <c r="L1389" s="283"/>
      <c r="M1389" s="283"/>
      <c r="N1389" s="283"/>
      <c r="O1389" s="283"/>
      <c r="P1389" s="654"/>
      <c r="Q1389" s="21"/>
      <c r="R1389" s="38">
        <v>100</v>
      </c>
      <c r="S1389" s="38">
        <v>97</v>
      </c>
      <c r="T1389" s="967" t="s">
        <v>4785</v>
      </c>
      <c r="U1389" s="281"/>
      <c r="V1389" s="288"/>
    </row>
    <row r="1390" spans="2:22">
      <c r="B1390" s="648" t="s">
        <v>4189</v>
      </c>
      <c r="C1390" s="648"/>
      <c r="D1390" s="282"/>
      <c r="E1390" s="659"/>
      <c r="F1390" s="659"/>
      <c r="G1390" s="281"/>
      <c r="H1390" s="281"/>
      <c r="L1390" s="283"/>
      <c r="M1390" s="283"/>
      <c r="N1390" s="283"/>
      <c r="O1390" s="283"/>
      <c r="P1390" s="654"/>
      <c r="Q1390" s="21"/>
      <c r="R1390" s="38">
        <v>100</v>
      </c>
      <c r="S1390" s="38">
        <v>100</v>
      </c>
      <c r="T1390" s="967"/>
      <c r="U1390" s="281"/>
      <c r="V1390" s="288"/>
    </row>
    <row r="1391" spans="2:22">
      <c r="B1391" s="648" t="s">
        <v>4190</v>
      </c>
      <c r="C1391" s="648"/>
      <c r="D1391" s="282"/>
      <c r="E1391" s="659"/>
      <c r="F1391" s="659"/>
      <c r="G1391" s="281"/>
      <c r="H1391" s="281"/>
      <c r="L1391" s="283"/>
      <c r="M1391" s="283"/>
      <c r="N1391" s="283"/>
      <c r="O1391" s="283"/>
      <c r="P1391" s="654"/>
      <c r="Q1391" s="21"/>
      <c r="R1391" s="38">
        <v>100</v>
      </c>
      <c r="S1391" s="38">
        <v>100</v>
      </c>
      <c r="T1391" s="967"/>
      <c r="U1391" s="281"/>
      <c r="V1391" s="288"/>
    </row>
    <row r="1392" spans="2:22">
      <c r="B1392" s="648" t="s">
        <v>4191</v>
      </c>
      <c r="C1392" s="648"/>
      <c r="D1392" s="282"/>
      <c r="E1392" s="659"/>
      <c r="F1392" s="659"/>
      <c r="G1392" s="281"/>
      <c r="H1392" s="281"/>
      <c r="L1392" s="283"/>
      <c r="M1392" s="283"/>
      <c r="N1392" s="283"/>
      <c r="O1392" s="283"/>
      <c r="P1392" s="654"/>
      <c r="Q1392" s="21"/>
      <c r="R1392" s="38">
        <v>100</v>
      </c>
      <c r="S1392" s="38">
        <v>100</v>
      </c>
      <c r="T1392" s="967"/>
      <c r="U1392" s="281"/>
      <c r="V1392" s="288"/>
    </row>
    <row r="1393" spans="2:22">
      <c r="B1393" s="648" t="s">
        <v>4192</v>
      </c>
      <c r="C1393" s="648"/>
      <c r="D1393" s="282"/>
      <c r="E1393" s="659"/>
      <c r="F1393" s="659"/>
      <c r="G1393" s="281"/>
      <c r="H1393" s="281"/>
      <c r="L1393" s="283"/>
      <c r="M1393" s="283"/>
      <c r="N1393" s="283"/>
      <c r="O1393" s="283"/>
      <c r="P1393" s="654"/>
      <c r="Q1393" s="21"/>
      <c r="R1393" s="38">
        <v>100</v>
      </c>
      <c r="S1393" s="38">
        <v>98</v>
      </c>
      <c r="T1393" s="967" t="s">
        <v>4786</v>
      </c>
      <c r="U1393" s="281"/>
      <c r="V1393" s="288"/>
    </row>
    <row r="1394" spans="2:22">
      <c r="B1394" s="648" t="s">
        <v>4193</v>
      </c>
      <c r="C1394" s="648"/>
      <c r="D1394" s="282"/>
      <c r="E1394" s="659"/>
      <c r="F1394" s="659"/>
      <c r="G1394" s="281"/>
      <c r="H1394" s="281"/>
      <c r="L1394" s="283"/>
      <c r="M1394" s="283"/>
      <c r="N1394" s="283"/>
      <c r="O1394" s="283"/>
      <c r="P1394" s="654"/>
      <c r="Q1394" s="21"/>
      <c r="R1394" s="38">
        <v>100</v>
      </c>
      <c r="S1394" s="38">
        <v>100</v>
      </c>
      <c r="T1394" s="967"/>
      <c r="U1394" s="281"/>
      <c r="V1394" s="288"/>
    </row>
    <row r="1395" spans="2:22">
      <c r="B1395" s="648" t="s">
        <v>4194</v>
      </c>
      <c r="C1395" s="648"/>
      <c r="D1395" s="282"/>
      <c r="E1395" s="659"/>
      <c r="F1395" s="659"/>
      <c r="G1395" s="281"/>
      <c r="H1395" s="281"/>
      <c r="L1395" s="283"/>
      <c r="M1395" s="283"/>
      <c r="N1395" s="283"/>
      <c r="O1395" s="283"/>
      <c r="P1395" s="654"/>
      <c r="Q1395" s="21"/>
      <c r="R1395" s="38">
        <v>100</v>
      </c>
      <c r="S1395" s="38">
        <v>100</v>
      </c>
      <c r="T1395" s="967"/>
      <c r="U1395" s="281"/>
      <c r="V1395" s="288"/>
    </row>
    <row r="1396" spans="2:22">
      <c r="B1396" s="648" t="s">
        <v>4195</v>
      </c>
      <c r="C1396" s="648"/>
      <c r="D1396" s="282"/>
      <c r="E1396" s="659"/>
      <c r="F1396" s="659"/>
      <c r="G1396" s="281"/>
      <c r="H1396" s="281"/>
      <c r="L1396" s="283"/>
      <c r="M1396" s="283"/>
      <c r="N1396" s="283"/>
      <c r="O1396" s="283"/>
      <c r="P1396" s="654"/>
      <c r="Q1396" s="21"/>
      <c r="R1396" s="38">
        <v>100</v>
      </c>
      <c r="S1396" s="38">
        <v>100</v>
      </c>
      <c r="T1396" s="967"/>
      <c r="U1396" s="281"/>
      <c r="V1396" s="288"/>
    </row>
    <row r="1397" spans="2:22">
      <c r="B1397" s="648" t="s">
        <v>4196</v>
      </c>
      <c r="C1397" s="648"/>
      <c r="D1397" s="282"/>
      <c r="E1397" s="659"/>
      <c r="F1397" s="659"/>
      <c r="G1397" s="281"/>
      <c r="H1397" s="281"/>
      <c r="L1397" s="283"/>
      <c r="M1397" s="283"/>
      <c r="N1397" s="283"/>
      <c r="O1397" s="283"/>
      <c r="P1397" s="654"/>
      <c r="Q1397" s="21"/>
      <c r="R1397" s="38">
        <v>100</v>
      </c>
      <c r="S1397" s="38">
        <v>100</v>
      </c>
      <c r="T1397" s="967"/>
      <c r="U1397" s="281"/>
      <c r="V1397" s="288"/>
    </row>
    <row r="1398" spans="2:22">
      <c r="B1398" s="648" t="s">
        <v>4197</v>
      </c>
      <c r="C1398" s="648"/>
      <c r="D1398" s="282"/>
      <c r="E1398" s="659"/>
      <c r="F1398" s="659"/>
      <c r="G1398" s="281"/>
      <c r="H1398" s="281"/>
      <c r="L1398" s="283"/>
      <c r="M1398" s="283"/>
      <c r="N1398" s="283"/>
      <c r="O1398" s="283"/>
      <c r="P1398" s="654"/>
      <c r="Q1398" s="21"/>
      <c r="R1398" s="38">
        <v>100</v>
      </c>
      <c r="S1398" s="38">
        <v>100</v>
      </c>
      <c r="T1398" s="967"/>
      <c r="U1398" s="281"/>
      <c r="V1398" s="288"/>
    </row>
    <row r="1399" spans="2:22">
      <c r="B1399" s="648" t="s">
        <v>4198</v>
      </c>
      <c r="C1399" s="648"/>
      <c r="D1399" s="282"/>
      <c r="E1399" s="659"/>
      <c r="F1399" s="659"/>
      <c r="G1399" s="281"/>
      <c r="H1399" s="281"/>
      <c r="L1399" s="283"/>
      <c r="M1399" s="283"/>
      <c r="N1399" s="283"/>
      <c r="O1399" s="283"/>
      <c r="P1399" s="654"/>
      <c r="Q1399" s="21"/>
      <c r="R1399" s="38">
        <v>100</v>
      </c>
      <c r="S1399" s="38">
        <v>100</v>
      </c>
      <c r="T1399" s="967"/>
      <c r="U1399" s="281"/>
      <c r="V1399" s="288"/>
    </row>
    <row r="1400" spans="2:22" ht="30">
      <c r="B1400" s="648" t="s">
        <v>4199</v>
      </c>
      <c r="C1400" s="648"/>
      <c r="D1400" s="282"/>
      <c r="E1400" s="659"/>
      <c r="F1400" s="659"/>
      <c r="G1400" s="281"/>
      <c r="H1400" s="281"/>
      <c r="L1400" s="283"/>
      <c r="M1400" s="283"/>
      <c r="N1400" s="283"/>
      <c r="O1400" s="283"/>
      <c r="P1400" s="654"/>
      <c r="Q1400" s="21"/>
      <c r="R1400" s="38">
        <v>100</v>
      </c>
      <c r="S1400" s="38">
        <v>100</v>
      </c>
      <c r="T1400" s="967" t="s">
        <v>4787</v>
      </c>
      <c r="U1400" s="281"/>
      <c r="V1400" s="288"/>
    </row>
    <row r="1401" spans="2:22">
      <c r="B1401" s="648" t="s">
        <v>4200</v>
      </c>
      <c r="C1401" s="648"/>
      <c r="D1401" s="282"/>
      <c r="E1401" s="659"/>
      <c r="F1401" s="659"/>
      <c r="G1401" s="281"/>
      <c r="H1401" s="281"/>
      <c r="L1401" s="283"/>
      <c r="M1401" s="283"/>
      <c r="N1401" s="283"/>
      <c r="O1401" s="283"/>
      <c r="P1401" s="654"/>
      <c r="Q1401" s="21"/>
      <c r="R1401" s="38">
        <v>100</v>
      </c>
      <c r="S1401" s="38">
        <v>100</v>
      </c>
      <c r="T1401" s="967"/>
      <c r="U1401" s="281"/>
      <c r="V1401" s="288"/>
    </row>
    <row r="1402" spans="2:22">
      <c r="B1402" s="648" t="s">
        <v>4201</v>
      </c>
      <c r="C1402" s="648"/>
      <c r="D1402" s="282"/>
      <c r="E1402" s="659"/>
      <c r="F1402" s="659"/>
      <c r="G1402" s="281"/>
      <c r="H1402" s="281"/>
      <c r="L1402" s="283"/>
      <c r="M1402" s="283"/>
      <c r="N1402" s="283"/>
      <c r="O1402" s="283"/>
      <c r="P1402" s="654"/>
      <c r="Q1402" s="21"/>
      <c r="R1402" s="38">
        <v>100</v>
      </c>
      <c r="S1402" s="38">
        <v>100</v>
      </c>
      <c r="T1402" s="967"/>
      <c r="U1402" s="281"/>
      <c r="V1402" s="288"/>
    </row>
    <row r="1403" spans="2:22">
      <c r="B1403" s="648" t="s">
        <v>4202</v>
      </c>
      <c r="C1403" s="648"/>
      <c r="D1403" s="282"/>
      <c r="E1403" s="659"/>
      <c r="F1403" s="659"/>
      <c r="G1403" s="281"/>
      <c r="H1403" s="281"/>
      <c r="L1403" s="283"/>
      <c r="M1403" s="283"/>
      <c r="N1403" s="283"/>
      <c r="O1403" s="283"/>
      <c r="P1403" s="654"/>
      <c r="Q1403" s="21"/>
      <c r="R1403" s="38">
        <v>100</v>
      </c>
      <c r="S1403" s="38">
        <v>100</v>
      </c>
      <c r="T1403" s="967"/>
      <c r="U1403" s="281"/>
      <c r="V1403" s="288"/>
    </row>
    <row r="1404" spans="2:22">
      <c r="B1404" s="648" t="s">
        <v>4203</v>
      </c>
      <c r="C1404" s="648"/>
      <c r="D1404" s="282"/>
      <c r="E1404" s="659"/>
      <c r="F1404" s="659"/>
      <c r="G1404" s="281"/>
      <c r="H1404" s="281"/>
      <c r="L1404" s="283"/>
      <c r="M1404" s="283"/>
      <c r="N1404" s="283"/>
      <c r="O1404" s="283"/>
      <c r="P1404" s="654"/>
      <c r="Q1404" s="21"/>
      <c r="R1404" s="38">
        <v>100</v>
      </c>
      <c r="S1404" s="38">
        <v>100</v>
      </c>
      <c r="T1404" s="967"/>
      <c r="U1404" s="281"/>
      <c r="V1404" s="288"/>
    </row>
    <row r="1405" spans="2:22">
      <c r="B1405" s="648" t="s">
        <v>4204</v>
      </c>
      <c r="C1405" s="648"/>
      <c r="D1405" s="282"/>
      <c r="E1405" s="659"/>
      <c r="F1405" s="659"/>
      <c r="G1405" s="281"/>
      <c r="H1405" s="281"/>
      <c r="L1405" s="283"/>
      <c r="M1405" s="283"/>
      <c r="N1405" s="283"/>
      <c r="O1405" s="283"/>
      <c r="P1405" s="654"/>
      <c r="Q1405" s="21"/>
      <c r="R1405" s="38">
        <v>100</v>
      </c>
      <c r="S1405" s="38">
        <v>100</v>
      </c>
      <c r="T1405" s="967" t="s">
        <v>4788</v>
      </c>
      <c r="U1405" s="281"/>
      <c r="V1405" s="288"/>
    </row>
    <row r="1406" spans="2:22">
      <c r="B1406" s="648" t="s">
        <v>4205</v>
      </c>
      <c r="C1406" s="648"/>
      <c r="D1406" s="282"/>
      <c r="E1406" s="659"/>
      <c r="F1406" s="659"/>
      <c r="G1406" s="281"/>
      <c r="H1406" s="281"/>
      <c r="L1406" s="283"/>
      <c r="M1406" s="283"/>
      <c r="N1406" s="283"/>
      <c r="O1406" s="283"/>
      <c r="P1406" s="654"/>
      <c r="Q1406" s="21"/>
      <c r="R1406" s="38">
        <v>100</v>
      </c>
      <c r="S1406" s="38">
        <v>100</v>
      </c>
      <c r="T1406" s="967"/>
      <c r="U1406" s="281"/>
      <c r="V1406" s="288"/>
    </row>
    <row r="1407" spans="2:22" ht="30">
      <c r="B1407" s="648" t="s">
        <v>4206</v>
      </c>
      <c r="C1407" s="648"/>
      <c r="D1407" s="282"/>
      <c r="E1407" s="659"/>
      <c r="F1407" s="659"/>
      <c r="G1407" s="281"/>
      <c r="H1407" s="281"/>
      <c r="L1407" s="283"/>
      <c r="M1407" s="283"/>
      <c r="N1407" s="283"/>
      <c r="O1407" s="283"/>
      <c r="P1407" s="654"/>
      <c r="Q1407" s="21"/>
      <c r="R1407" s="38">
        <v>100</v>
      </c>
      <c r="S1407" s="38">
        <v>97</v>
      </c>
      <c r="T1407" s="967" t="s">
        <v>4789</v>
      </c>
      <c r="U1407" s="281"/>
      <c r="V1407" s="288"/>
    </row>
    <row r="1408" spans="2:22">
      <c r="B1408" s="648" t="s">
        <v>4207</v>
      </c>
      <c r="C1408" s="648"/>
      <c r="D1408" s="282"/>
      <c r="E1408" s="659"/>
      <c r="F1408" s="659"/>
      <c r="G1408" s="281"/>
      <c r="H1408" s="281"/>
      <c r="L1408" s="283"/>
      <c r="M1408" s="283"/>
      <c r="N1408" s="283"/>
      <c r="O1408" s="283"/>
      <c r="P1408" s="654"/>
      <c r="Q1408" s="21"/>
      <c r="R1408" s="38">
        <v>100</v>
      </c>
      <c r="S1408" s="38">
        <v>100</v>
      </c>
      <c r="T1408" s="967"/>
      <c r="U1408" s="281"/>
      <c r="V1408" s="288"/>
    </row>
    <row r="1409" spans="2:22">
      <c r="B1409" s="648" t="s">
        <v>4208</v>
      </c>
      <c r="C1409" s="648"/>
      <c r="D1409" s="282"/>
      <c r="E1409" s="659"/>
      <c r="F1409" s="659"/>
      <c r="G1409" s="281"/>
      <c r="H1409" s="281"/>
      <c r="L1409" s="283"/>
      <c r="M1409" s="283"/>
      <c r="N1409" s="283"/>
      <c r="O1409" s="283"/>
      <c r="P1409" s="654"/>
      <c r="Q1409" s="21"/>
      <c r="R1409" s="38">
        <v>100</v>
      </c>
      <c r="S1409" s="38">
        <v>100</v>
      </c>
      <c r="T1409" s="967"/>
      <c r="U1409" s="281"/>
      <c r="V1409" s="288"/>
    </row>
    <row r="1410" spans="2:22">
      <c r="B1410" s="648" t="s">
        <v>4209</v>
      </c>
      <c r="C1410" s="648"/>
      <c r="D1410" s="282"/>
      <c r="E1410" s="659"/>
      <c r="F1410" s="659"/>
      <c r="G1410" s="281"/>
      <c r="H1410" s="281"/>
      <c r="L1410" s="283"/>
      <c r="M1410" s="283"/>
      <c r="N1410" s="283"/>
      <c r="O1410" s="283"/>
      <c r="P1410" s="654"/>
      <c r="Q1410" s="21"/>
      <c r="R1410" s="38">
        <v>100</v>
      </c>
      <c r="S1410" s="38">
        <v>100</v>
      </c>
      <c r="T1410" s="967"/>
      <c r="U1410" s="281"/>
      <c r="V1410" s="288"/>
    </row>
    <row r="1411" spans="2:22">
      <c r="B1411" s="648" t="s">
        <v>4210</v>
      </c>
      <c r="C1411" s="648"/>
      <c r="D1411" s="282"/>
      <c r="E1411" s="659"/>
      <c r="F1411" s="659"/>
      <c r="G1411" s="281"/>
      <c r="H1411" s="281"/>
      <c r="L1411" s="283"/>
      <c r="M1411" s="283"/>
      <c r="N1411" s="283"/>
      <c r="O1411" s="283"/>
      <c r="P1411" s="654"/>
      <c r="Q1411" s="21"/>
      <c r="R1411" s="38">
        <v>100</v>
      </c>
      <c r="S1411" s="38">
        <v>100</v>
      </c>
      <c r="T1411" s="967"/>
      <c r="U1411" s="281"/>
      <c r="V1411" s="288"/>
    </row>
    <row r="1412" spans="2:22">
      <c r="B1412" s="648" t="s">
        <v>4211</v>
      </c>
      <c r="C1412" s="648"/>
      <c r="D1412" s="282"/>
      <c r="E1412" s="659"/>
      <c r="F1412" s="659"/>
      <c r="G1412" s="281"/>
      <c r="H1412" s="281"/>
      <c r="L1412" s="283"/>
      <c r="M1412" s="283"/>
      <c r="N1412" s="283"/>
      <c r="O1412" s="283"/>
      <c r="P1412" s="654"/>
      <c r="Q1412" s="21"/>
      <c r="R1412" s="38">
        <v>100</v>
      </c>
      <c r="S1412" s="38">
        <v>100</v>
      </c>
      <c r="T1412" s="967"/>
      <c r="U1412" s="281"/>
      <c r="V1412" s="288"/>
    </row>
    <row r="1413" spans="2:22" ht="30">
      <c r="B1413" s="648" t="s">
        <v>4212</v>
      </c>
      <c r="C1413" s="648"/>
      <c r="D1413" s="282"/>
      <c r="E1413" s="659"/>
      <c r="F1413" s="659"/>
      <c r="G1413" s="281"/>
      <c r="H1413" s="281"/>
      <c r="L1413" s="283"/>
      <c r="M1413" s="283"/>
      <c r="N1413" s="283"/>
      <c r="O1413" s="283"/>
      <c r="P1413" s="654"/>
      <c r="Q1413" s="21"/>
      <c r="R1413" s="38">
        <v>100</v>
      </c>
      <c r="S1413" s="38">
        <v>97</v>
      </c>
      <c r="T1413" s="967" t="s">
        <v>4790</v>
      </c>
      <c r="U1413" s="281"/>
      <c r="V1413" s="288"/>
    </row>
    <row r="1414" spans="2:22" ht="30">
      <c r="B1414" s="648" t="s">
        <v>4213</v>
      </c>
      <c r="C1414" s="648"/>
      <c r="D1414" s="282"/>
      <c r="E1414" s="659"/>
      <c r="F1414" s="659"/>
      <c r="G1414" s="281"/>
      <c r="H1414" s="281"/>
      <c r="L1414" s="283"/>
      <c r="M1414" s="283"/>
      <c r="N1414" s="283"/>
      <c r="O1414" s="283"/>
      <c r="P1414" s="654"/>
      <c r="Q1414" s="21"/>
      <c r="R1414" s="38">
        <v>100</v>
      </c>
      <c r="S1414" s="38">
        <v>97</v>
      </c>
      <c r="T1414" s="967" t="s">
        <v>4791</v>
      </c>
      <c r="U1414" s="281"/>
      <c r="V1414" s="288"/>
    </row>
    <row r="1415" spans="2:22">
      <c r="B1415" s="648" t="s">
        <v>4214</v>
      </c>
      <c r="C1415" s="648"/>
      <c r="D1415" s="282"/>
      <c r="E1415" s="659"/>
      <c r="F1415" s="659"/>
      <c r="G1415" s="281"/>
      <c r="H1415" s="281"/>
      <c r="L1415" s="283"/>
      <c r="M1415" s="283"/>
      <c r="N1415" s="283"/>
      <c r="O1415" s="283"/>
      <c r="P1415" s="654"/>
      <c r="Q1415" s="21"/>
      <c r="R1415" s="38">
        <v>100</v>
      </c>
      <c r="S1415" s="38">
        <v>100</v>
      </c>
      <c r="T1415" s="967"/>
      <c r="U1415" s="281"/>
      <c r="V1415" s="288"/>
    </row>
    <row r="1416" spans="2:22">
      <c r="B1416" s="648" t="s">
        <v>4215</v>
      </c>
      <c r="C1416" s="648"/>
      <c r="D1416" s="282"/>
      <c r="E1416" s="659"/>
      <c r="F1416" s="659"/>
      <c r="G1416" s="281"/>
      <c r="H1416" s="281"/>
      <c r="L1416" s="283"/>
      <c r="M1416" s="283"/>
      <c r="N1416" s="283"/>
      <c r="O1416" s="283"/>
      <c r="P1416" s="654"/>
      <c r="Q1416" s="21"/>
      <c r="R1416" s="38">
        <v>100</v>
      </c>
      <c r="S1416" s="38">
        <v>100</v>
      </c>
      <c r="T1416" s="967"/>
      <c r="U1416" s="281"/>
      <c r="V1416" s="288"/>
    </row>
    <row r="1417" spans="2:22">
      <c r="B1417" s="648" t="s">
        <v>4216</v>
      </c>
      <c r="C1417" s="648"/>
      <c r="D1417" s="282"/>
      <c r="E1417" s="659"/>
      <c r="F1417" s="659"/>
      <c r="G1417" s="281"/>
      <c r="H1417" s="281"/>
      <c r="L1417" s="283"/>
      <c r="M1417" s="283"/>
      <c r="N1417" s="283"/>
      <c r="O1417" s="283"/>
      <c r="P1417" s="654"/>
      <c r="Q1417" s="21"/>
      <c r="R1417" s="38">
        <v>100</v>
      </c>
      <c r="S1417" s="38">
        <v>100</v>
      </c>
      <c r="T1417" s="967"/>
      <c r="U1417" s="281"/>
      <c r="V1417" s="288"/>
    </row>
    <row r="1418" spans="2:22">
      <c r="B1418" s="648" t="s">
        <v>4217</v>
      </c>
      <c r="C1418" s="648"/>
      <c r="D1418" s="282"/>
      <c r="E1418" s="659"/>
      <c r="F1418" s="659"/>
      <c r="G1418" s="281"/>
      <c r="H1418" s="281"/>
      <c r="L1418" s="283"/>
      <c r="M1418" s="283"/>
      <c r="N1418" s="283"/>
      <c r="O1418" s="283"/>
      <c r="P1418" s="654"/>
      <c r="Q1418" s="21"/>
      <c r="R1418" s="38">
        <v>100</v>
      </c>
      <c r="S1418" s="38">
        <v>98</v>
      </c>
      <c r="T1418" s="967" t="s">
        <v>6200</v>
      </c>
      <c r="U1418" s="281"/>
      <c r="V1418" s="288"/>
    </row>
    <row r="1419" spans="2:22">
      <c r="B1419" s="648" t="s">
        <v>4218</v>
      </c>
      <c r="C1419" s="648"/>
      <c r="D1419" s="282"/>
      <c r="E1419" s="659"/>
      <c r="F1419" s="659"/>
      <c r="G1419" s="281"/>
      <c r="H1419" s="281"/>
      <c r="L1419" s="283"/>
      <c r="M1419" s="283"/>
      <c r="N1419" s="283"/>
      <c r="O1419" s="283"/>
      <c r="P1419" s="654"/>
      <c r="Q1419" s="21"/>
      <c r="R1419" s="38">
        <v>100</v>
      </c>
      <c r="S1419" s="38">
        <v>100</v>
      </c>
      <c r="T1419" s="967"/>
      <c r="U1419" s="281"/>
      <c r="V1419" s="288"/>
    </row>
    <row r="1420" spans="2:22" ht="30">
      <c r="B1420" s="653" t="s">
        <v>314</v>
      </c>
      <c r="C1420" s="653"/>
      <c r="D1420" s="658" t="s">
        <v>4219</v>
      </c>
      <c r="E1420" s="656">
        <v>41347</v>
      </c>
      <c r="F1420" s="656"/>
      <c r="G1420" s="654" t="s">
        <v>361</v>
      </c>
      <c r="H1420" s="654"/>
      <c r="I1420" s="31"/>
      <c r="J1420" s="1233"/>
      <c r="K1420" s="31"/>
      <c r="L1420" s="21">
        <v>6900</v>
      </c>
      <c r="M1420" s="21"/>
      <c r="N1420" s="21">
        <f t="shared" si="240"/>
        <v>6900</v>
      </c>
      <c r="O1420" s="283"/>
      <c r="P1420" s="647" t="s">
        <v>110</v>
      </c>
      <c r="Q1420" s="1136" t="s">
        <v>105</v>
      </c>
      <c r="R1420" s="963">
        <v>6900</v>
      </c>
      <c r="S1420" s="963">
        <v>6900</v>
      </c>
      <c r="T1420" s="961"/>
      <c r="U1420" s="654"/>
      <c r="V1420" s="523" t="s">
        <v>307</v>
      </c>
    </row>
    <row r="1421" spans="2:22" ht="30">
      <c r="B1421" s="653" t="s">
        <v>388</v>
      </c>
      <c r="C1421" s="653"/>
      <c r="D1421" s="658" t="s">
        <v>4221</v>
      </c>
      <c r="E1421" s="656">
        <v>41347</v>
      </c>
      <c r="F1421" s="656"/>
      <c r="G1421" s="654" t="s">
        <v>4220</v>
      </c>
      <c r="H1421" s="654"/>
      <c r="I1421" s="31"/>
      <c r="J1421" s="1233"/>
      <c r="K1421" s="31"/>
      <c r="L1421" s="21">
        <v>8500</v>
      </c>
      <c r="M1421" s="21"/>
      <c r="N1421" s="21">
        <f t="shared" si="240"/>
        <v>8500</v>
      </c>
      <c r="O1421" s="283"/>
      <c r="P1421" s="647" t="s">
        <v>110</v>
      </c>
      <c r="Q1421" s="1136" t="s">
        <v>105</v>
      </c>
      <c r="R1421" s="963">
        <v>8500</v>
      </c>
      <c r="S1421" s="963">
        <v>8500</v>
      </c>
      <c r="T1421" s="961"/>
      <c r="U1421" s="654"/>
      <c r="V1421" s="523" t="s">
        <v>307</v>
      </c>
    </row>
    <row r="1422" spans="2:22" ht="30">
      <c r="B1422" s="653" t="s">
        <v>343</v>
      </c>
      <c r="C1422" s="653"/>
      <c r="D1422" s="658" t="s">
        <v>4223</v>
      </c>
      <c r="E1422" s="656">
        <v>41347</v>
      </c>
      <c r="F1422" s="656"/>
      <c r="G1422" s="654" t="s">
        <v>4222</v>
      </c>
      <c r="H1422" s="654"/>
      <c r="I1422" s="31"/>
      <c r="J1422" s="1233"/>
      <c r="K1422" s="31"/>
      <c r="L1422" s="21">
        <v>3400</v>
      </c>
      <c r="M1422" s="21"/>
      <c r="N1422" s="21">
        <f t="shared" si="240"/>
        <v>3400</v>
      </c>
      <c r="O1422" s="283"/>
      <c r="P1422" s="647" t="s">
        <v>110</v>
      </c>
      <c r="Q1422" s="1136" t="s">
        <v>105</v>
      </c>
      <c r="R1422" s="968"/>
      <c r="S1422" s="968"/>
      <c r="T1422" s="961"/>
      <c r="U1422" s="654"/>
      <c r="V1422" s="523" t="s">
        <v>307</v>
      </c>
    </row>
    <row r="1423" spans="2:22">
      <c r="B1423" s="648" t="s">
        <v>4224</v>
      </c>
      <c r="C1423" s="648"/>
      <c r="D1423" s="282"/>
      <c r="E1423" s="659"/>
      <c r="F1423" s="659"/>
      <c r="G1423" s="281"/>
      <c r="H1423" s="281"/>
      <c r="L1423" s="283"/>
      <c r="M1423" s="283"/>
      <c r="N1423" s="283"/>
      <c r="O1423" s="283"/>
      <c r="P1423" s="654"/>
      <c r="Q1423" s="21"/>
      <c r="R1423" s="1019">
        <v>100</v>
      </c>
      <c r="S1423" s="1019">
        <v>100</v>
      </c>
      <c r="T1423" s="962"/>
      <c r="U1423" s="281"/>
      <c r="V1423" s="288"/>
    </row>
    <row r="1424" spans="2:22">
      <c r="B1424" s="648" t="s">
        <v>4225</v>
      </c>
      <c r="C1424" s="648"/>
      <c r="D1424" s="282"/>
      <c r="E1424" s="659"/>
      <c r="F1424" s="659"/>
      <c r="G1424" s="281"/>
      <c r="H1424" s="281"/>
      <c r="L1424" s="283"/>
      <c r="M1424" s="283"/>
      <c r="N1424" s="283"/>
      <c r="O1424" s="283"/>
      <c r="P1424" s="654"/>
      <c r="Q1424" s="21"/>
      <c r="R1424" s="1019">
        <v>100</v>
      </c>
      <c r="S1424" s="1019">
        <v>100</v>
      </c>
      <c r="T1424" s="962"/>
      <c r="U1424" s="281"/>
      <c r="V1424" s="288"/>
    </row>
    <row r="1425" spans="2:22">
      <c r="B1425" s="648" t="s">
        <v>4226</v>
      </c>
      <c r="C1425" s="648"/>
      <c r="D1425" s="282"/>
      <c r="E1425" s="659"/>
      <c r="F1425" s="659"/>
      <c r="G1425" s="281"/>
      <c r="H1425" s="281"/>
      <c r="L1425" s="283"/>
      <c r="M1425" s="283"/>
      <c r="N1425" s="283"/>
      <c r="O1425" s="283"/>
      <c r="P1425" s="654"/>
      <c r="Q1425" s="21"/>
      <c r="R1425" s="1019">
        <v>100</v>
      </c>
      <c r="S1425" s="1019">
        <v>100</v>
      </c>
      <c r="T1425" s="962"/>
      <c r="U1425" s="281"/>
      <c r="V1425" s="288"/>
    </row>
    <row r="1426" spans="2:22">
      <c r="B1426" s="648" t="s">
        <v>4227</v>
      </c>
      <c r="C1426" s="648"/>
      <c r="D1426" s="282"/>
      <c r="E1426" s="659"/>
      <c r="F1426" s="659"/>
      <c r="G1426" s="281"/>
      <c r="H1426" s="281"/>
      <c r="L1426" s="283"/>
      <c r="M1426" s="283"/>
      <c r="N1426" s="283"/>
      <c r="O1426" s="283"/>
      <c r="P1426" s="654"/>
      <c r="Q1426" s="21"/>
      <c r="R1426" s="1019">
        <v>100</v>
      </c>
      <c r="S1426" s="1019">
        <v>100</v>
      </c>
      <c r="T1426" s="962"/>
      <c r="U1426" s="281"/>
      <c r="V1426" s="288"/>
    </row>
    <row r="1427" spans="2:22">
      <c r="B1427" s="648" t="s">
        <v>4228</v>
      </c>
      <c r="C1427" s="648"/>
      <c r="D1427" s="282"/>
      <c r="E1427" s="659"/>
      <c r="F1427" s="659"/>
      <c r="G1427" s="281"/>
      <c r="H1427" s="281"/>
      <c r="L1427" s="283"/>
      <c r="M1427" s="283"/>
      <c r="N1427" s="283"/>
      <c r="O1427" s="283"/>
      <c r="P1427" s="654"/>
      <c r="Q1427" s="21"/>
      <c r="R1427" s="1019">
        <v>100</v>
      </c>
      <c r="S1427" s="1019">
        <v>100</v>
      </c>
      <c r="T1427" s="962"/>
      <c r="U1427" s="281"/>
      <c r="V1427" s="288"/>
    </row>
    <row r="1428" spans="2:22">
      <c r="B1428" s="648" t="s">
        <v>4229</v>
      </c>
      <c r="C1428" s="648"/>
      <c r="D1428" s="282"/>
      <c r="E1428" s="659"/>
      <c r="F1428" s="659"/>
      <c r="G1428" s="281"/>
      <c r="H1428" s="281"/>
      <c r="L1428" s="283"/>
      <c r="M1428" s="283"/>
      <c r="N1428" s="283"/>
      <c r="O1428" s="283"/>
      <c r="P1428" s="654"/>
      <c r="Q1428" s="21"/>
      <c r="R1428" s="1019">
        <v>100</v>
      </c>
      <c r="S1428" s="1019">
        <v>100</v>
      </c>
      <c r="T1428" s="962"/>
      <c r="U1428" s="281"/>
      <c r="V1428" s="288"/>
    </row>
    <row r="1429" spans="2:22">
      <c r="B1429" s="648" t="s">
        <v>4230</v>
      </c>
      <c r="C1429" s="648"/>
      <c r="D1429" s="282"/>
      <c r="E1429" s="659"/>
      <c r="F1429" s="659"/>
      <c r="G1429" s="281"/>
      <c r="H1429" s="281"/>
      <c r="L1429" s="283"/>
      <c r="M1429" s="283"/>
      <c r="N1429" s="283"/>
      <c r="O1429" s="283"/>
      <c r="P1429" s="654"/>
      <c r="Q1429" s="21"/>
      <c r="R1429" s="1019">
        <v>100</v>
      </c>
      <c r="S1429" s="1019">
        <v>100</v>
      </c>
      <c r="T1429" s="962"/>
      <c r="U1429" s="281"/>
      <c r="V1429" s="288"/>
    </row>
    <row r="1430" spans="2:22">
      <c r="B1430" s="648" t="s">
        <v>4231</v>
      </c>
      <c r="C1430" s="648"/>
      <c r="D1430" s="282"/>
      <c r="E1430" s="659"/>
      <c r="F1430" s="659"/>
      <c r="G1430" s="281"/>
      <c r="H1430" s="281"/>
      <c r="L1430" s="283"/>
      <c r="M1430" s="283"/>
      <c r="N1430" s="283"/>
      <c r="O1430" s="283"/>
      <c r="P1430" s="654"/>
      <c r="Q1430" s="21"/>
      <c r="R1430" s="1019">
        <v>100</v>
      </c>
      <c r="S1430" s="1019">
        <v>100</v>
      </c>
      <c r="T1430" s="962"/>
      <c r="U1430" s="281"/>
      <c r="V1430" s="288"/>
    </row>
    <row r="1431" spans="2:22" ht="30">
      <c r="B1431" s="648" t="s">
        <v>4232</v>
      </c>
      <c r="C1431" s="648"/>
      <c r="D1431" s="282"/>
      <c r="E1431" s="659"/>
      <c r="F1431" s="659"/>
      <c r="G1431" s="281"/>
      <c r="H1431" s="281"/>
      <c r="L1431" s="283"/>
      <c r="M1431" s="283"/>
      <c r="N1431" s="283"/>
      <c r="O1431" s="283"/>
      <c r="P1431" s="654"/>
      <c r="Q1431" s="21"/>
      <c r="R1431" s="1019">
        <v>100</v>
      </c>
      <c r="S1431" s="1019">
        <v>100</v>
      </c>
      <c r="T1431" s="962"/>
      <c r="U1431" s="281"/>
      <c r="V1431" s="288"/>
    </row>
    <row r="1432" spans="2:22">
      <c r="B1432" s="648" t="s">
        <v>4233</v>
      </c>
      <c r="C1432" s="648"/>
      <c r="D1432" s="282"/>
      <c r="E1432" s="659"/>
      <c r="F1432" s="659"/>
      <c r="G1432" s="281"/>
      <c r="H1432" s="281"/>
      <c r="L1432" s="283"/>
      <c r="M1432" s="283"/>
      <c r="N1432" s="283"/>
      <c r="O1432" s="283"/>
      <c r="P1432" s="654"/>
      <c r="Q1432" s="21"/>
      <c r="R1432" s="1019">
        <v>100</v>
      </c>
      <c r="S1432" s="1019">
        <v>100</v>
      </c>
      <c r="T1432" s="962"/>
      <c r="U1432" s="281"/>
      <c r="V1432" s="288"/>
    </row>
    <row r="1433" spans="2:22">
      <c r="B1433" s="648" t="s">
        <v>4234</v>
      </c>
      <c r="C1433" s="648"/>
      <c r="D1433" s="282"/>
      <c r="E1433" s="659"/>
      <c r="F1433" s="659"/>
      <c r="G1433" s="281"/>
      <c r="H1433" s="281"/>
      <c r="L1433" s="283"/>
      <c r="M1433" s="283"/>
      <c r="N1433" s="283"/>
      <c r="O1433" s="283"/>
      <c r="P1433" s="654"/>
      <c r="Q1433" s="21"/>
      <c r="R1433" s="1019">
        <v>100</v>
      </c>
      <c r="S1433" s="1019">
        <v>100</v>
      </c>
      <c r="T1433" s="962"/>
      <c r="U1433" s="281"/>
      <c r="V1433" s="288"/>
    </row>
    <row r="1434" spans="2:22">
      <c r="B1434" s="648" t="s">
        <v>4235</v>
      </c>
      <c r="C1434" s="648"/>
      <c r="D1434" s="282"/>
      <c r="E1434" s="659"/>
      <c r="F1434" s="659"/>
      <c r="G1434" s="281"/>
      <c r="H1434" s="281"/>
      <c r="L1434" s="283"/>
      <c r="M1434" s="283"/>
      <c r="N1434" s="283"/>
      <c r="O1434" s="283"/>
      <c r="P1434" s="654"/>
      <c r="Q1434" s="21"/>
      <c r="R1434" s="1019">
        <v>100</v>
      </c>
      <c r="S1434" s="1019">
        <v>100</v>
      </c>
      <c r="T1434" s="962"/>
      <c r="U1434" s="281"/>
      <c r="V1434" s="288"/>
    </row>
    <row r="1435" spans="2:22">
      <c r="B1435" s="648" t="s">
        <v>4236</v>
      </c>
      <c r="C1435" s="648"/>
      <c r="D1435" s="282"/>
      <c r="E1435" s="659"/>
      <c r="F1435" s="659"/>
      <c r="G1435" s="281"/>
      <c r="H1435" s="281"/>
      <c r="L1435" s="283"/>
      <c r="M1435" s="283"/>
      <c r="N1435" s="283"/>
      <c r="O1435" s="283"/>
      <c r="P1435" s="654"/>
      <c r="Q1435" s="21"/>
      <c r="R1435" s="1019">
        <v>100</v>
      </c>
      <c r="S1435" s="1019">
        <v>100</v>
      </c>
      <c r="T1435" s="962"/>
      <c r="U1435" s="281"/>
      <c r="V1435" s="288"/>
    </row>
    <row r="1436" spans="2:22">
      <c r="B1436" s="648" t="s">
        <v>4237</v>
      </c>
      <c r="C1436" s="648"/>
      <c r="D1436" s="282"/>
      <c r="E1436" s="659"/>
      <c r="F1436" s="659"/>
      <c r="G1436" s="281"/>
      <c r="H1436" s="281"/>
      <c r="L1436" s="283"/>
      <c r="M1436" s="283"/>
      <c r="N1436" s="283"/>
      <c r="O1436" s="283"/>
      <c r="P1436" s="654"/>
      <c r="Q1436" s="21"/>
      <c r="R1436" s="1019">
        <v>100</v>
      </c>
      <c r="S1436" s="1019">
        <v>100</v>
      </c>
      <c r="T1436" s="962"/>
      <c r="U1436" s="281"/>
      <c r="V1436" s="288"/>
    </row>
    <row r="1437" spans="2:22">
      <c r="B1437" s="648" t="s">
        <v>4238</v>
      </c>
      <c r="C1437" s="648"/>
      <c r="D1437" s="282"/>
      <c r="E1437" s="659"/>
      <c r="F1437" s="659"/>
      <c r="G1437" s="281"/>
      <c r="H1437" s="281"/>
      <c r="L1437" s="283"/>
      <c r="M1437" s="283"/>
      <c r="N1437" s="283"/>
      <c r="O1437" s="283"/>
      <c r="P1437" s="654"/>
      <c r="Q1437" s="21"/>
      <c r="R1437" s="1019">
        <v>100</v>
      </c>
      <c r="S1437" s="1019">
        <v>100</v>
      </c>
      <c r="T1437" s="962"/>
      <c r="U1437" s="281"/>
      <c r="V1437" s="288"/>
    </row>
    <row r="1438" spans="2:22">
      <c r="B1438" s="648" t="s">
        <v>4239</v>
      </c>
      <c r="C1438" s="648"/>
      <c r="D1438" s="282"/>
      <c r="E1438" s="659"/>
      <c r="F1438" s="659"/>
      <c r="G1438" s="281"/>
      <c r="H1438" s="281"/>
      <c r="L1438" s="283"/>
      <c r="M1438" s="283"/>
      <c r="N1438" s="283"/>
      <c r="O1438" s="283"/>
      <c r="P1438" s="654"/>
      <c r="Q1438" s="21"/>
      <c r="R1438" s="1019">
        <v>100</v>
      </c>
      <c r="S1438" s="1019">
        <v>100</v>
      </c>
      <c r="T1438" s="962"/>
      <c r="U1438" s="281"/>
      <c r="V1438" s="288"/>
    </row>
    <row r="1439" spans="2:22">
      <c r="B1439" s="648" t="s">
        <v>4240</v>
      </c>
      <c r="C1439" s="648"/>
      <c r="D1439" s="282"/>
      <c r="E1439" s="659"/>
      <c r="F1439" s="659"/>
      <c r="G1439" s="281"/>
      <c r="H1439" s="281"/>
      <c r="L1439" s="283"/>
      <c r="M1439" s="283"/>
      <c r="N1439" s="283"/>
      <c r="O1439" s="283"/>
      <c r="P1439" s="654"/>
      <c r="Q1439" s="21"/>
      <c r="R1439" s="1019">
        <v>100</v>
      </c>
      <c r="S1439" s="1019">
        <v>100</v>
      </c>
      <c r="T1439" s="962"/>
      <c r="U1439" s="281"/>
      <c r="V1439" s="288"/>
    </row>
    <row r="1440" spans="2:22">
      <c r="B1440" s="648" t="s">
        <v>4241</v>
      </c>
      <c r="C1440" s="648"/>
      <c r="D1440" s="282"/>
      <c r="E1440" s="659"/>
      <c r="F1440" s="659"/>
      <c r="G1440" s="281"/>
      <c r="H1440" s="281"/>
      <c r="L1440" s="283"/>
      <c r="M1440" s="283"/>
      <c r="N1440" s="283"/>
      <c r="O1440" s="283"/>
      <c r="P1440" s="654"/>
      <c r="Q1440" s="21"/>
      <c r="R1440" s="1019">
        <v>100</v>
      </c>
      <c r="S1440" s="1019">
        <v>100</v>
      </c>
      <c r="T1440" s="962"/>
      <c r="U1440" s="281"/>
      <c r="V1440" s="288"/>
    </row>
    <row r="1441" spans="2:22">
      <c r="B1441" s="648" t="s">
        <v>4242</v>
      </c>
      <c r="C1441" s="648"/>
      <c r="D1441" s="282"/>
      <c r="E1441" s="659"/>
      <c r="F1441" s="659"/>
      <c r="G1441" s="281"/>
      <c r="H1441" s="281"/>
      <c r="L1441" s="283"/>
      <c r="M1441" s="283"/>
      <c r="N1441" s="283"/>
      <c r="O1441" s="283"/>
      <c r="P1441" s="654"/>
      <c r="Q1441" s="21"/>
      <c r="R1441" s="1019">
        <v>100</v>
      </c>
      <c r="S1441" s="1019">
        <v>100</v>
      </c>
      <c r="T1441" s="962"/>
      <c r="U1441" s="281"/>
      <c r="V1441" s="288"/>
    </row>
    <row r="1442" spans="2:22">
      <c r="B1442" s="648" t="s">
        <v>4243</v>
      </c>
      <c r="C1442" s="648"/>
      <c r="D1442" s="282"/>
      <c r="E1442" s="659"/>
      <c r="F1442" s="659"/>
      <c r="G1442" s="281"/>
      <c r="H1442" s="281"/>
      <c r="L1442" s="283"/>
      <c r="M1442" s="283"/>
      <c r="N1442" s="283"/>
      <c r="O1442" s="283"/>
      <c r="P1442" s="654"/>
      <c r="Q1442" s="21"/>
      <c r="R1442" s="1019">
        <v>100</v>
      </c>
      <c r="S1442" s="1019">
        <v>100</v>
      </c>
      <c r="T1442" s="962"/>
      <c r="U1442" s="281"/>
      <c r="V1442" s="288"/>
    </row>
    <row r="1443" spans="2:22">
      <c r="B1443" s="648" t="s">
        <v>4244</v>
      </c>
      <c r="C1443" s="648"/>
      <c r="D1443" s="282"/>
      <c r="E1443" s="659"/>
      <c r="F1443" s="659"/>
      <c r="G1443" s="281"/>
      <c r="H1443" s="281"/>
      <c r="L1443" s="283"/>
      <c r="M1443" s="283"/>
      <c r="N1443" s="283"/>
      <c r="O1443" s="283"/>
      <c r="P1443" s="654"/>
      <c r="Q1443" s="21"/>
      <c r="R1443" s="1019">
        <v>100</v>
      </c>
      <c r="S1443" s="1019">
        <v>100</v>
      </c>
      <c r="T1443" s="962"/>
      <c r="U1443" s="281"/>
      <c r="V1443" s="288"/>
    </row>
    <row r="1444" spans="2:22">
      <c r="B1444" s="648" t="s">
        <v>4245</v>
      </c>
      <c r="C1444" s="648"/>
      <c r="D1444" s="282"/>
      <c r="E1444" s="659"/>
      <c r="F1444" s="659"/>
      <c r="G1444" s="281"/>
      <c r="H1444" s="281"/>
      <c r="L1444" s="283"/>
      <c r="M1444" s="283"/>
      <c r="N1444" s="283"/>
      <c r="O1444" s="283"/>
      <c r="P1444" s="654"/>
      <c r="Q1444" s="21"/>
      <c r="R1444" s="1019">
        <v>100</v>
      </c>
      <c r="S1444" s="1019">
        <v>100</v>
      </c>
      <c r="T1444" s="962"/>
      <c r="U1444" s="281"/>
      <c r="V1444" s="288"/>
    </row>
    <row r="1445" spans="2:22">
      <c r="B1445" s="648" t="s">
        <v>4246</v>
      </c>
      <c r="C1445" s="648"/>
      <c r="D1445" s="282"/>
      <c r="E1445" s="659"/>
      <c r="F1445" s="659"/>
      <c r="G1445" s="281"/>
      <c r="H1445" s="281"/>
      <c r="L1445" s="283"/>
      <c r="M1445" s="283"/>
      <c r="N1445" s="283"/>
      <c r="O1445" s="283"/>
      <c r="P1445" s="654"/>
      <c r="Q1445" s="21"/>
      <c r="R1445" s="1019">
        <v>100</v>
      </c>
      <c r="S1445" s="1019">
        <v>100</v>
      </c>
      <c r="T1445" s="962"/>
      <c r="U1445" s="281"/>
      <c r="V1445" s="288"/>
    </row>
    <row r="1446" spans="2:22">
      <c r="B1446" s="648" t="s">
        <v>4247</v>
      </c>
      <c r="C1446" s="648"/>
      <c r="D1446" s="282"/>
      <c r="E1446" s="659"/>
      <c r="F1446" s="659"/>
      <c r="G1446" s="281"/>
      <c r="H1446" s="281"/>
      <c r="L1446" s="283"/>
      <c r="M1446" s="283"/>
      <c r="N1446" s="283"/>
      <c r="O1446" s="283"/>
      <c r="P1446" s="654"/>
      <c r="Q1446" s="21"/>
      <c r="R1446" s="1019">
        <v>100</v>
      </c>
      <c r="S1446" s="1019">
        <v>100</v>
      </c>
      <c r="T1446" s="962"/>
      <c r="U1446" s="281"/>
      <c r="V1446" s="288"/>
    </row>
    <row r="1447" spans="2:22">
      <c r="B1447" s="648" t="s">
        <v>4248</v>
      </c>
      <c r="C1447" s="648"/>
      <c r="D1447" s="282"/>
      <c r="E1447" s="659"/>
      <c r="F1447" s="659"/>
      <c r="G1447" s="281"/>
      <c r="H1447" s="281"/>
      <c r="L1447" s="283"/>
      <c r="M1447" s="283"/>
      <c r="N1447" s="283"/>
      <c r="O1447" s="283"/>
      <c r="P1447" s="654"/>
      <c r="Q1447" s="21"/>
      <c r="R1447" s="1019">
        <v>100</v>
      </c>
      <c r="S1447" s="1019">
        <v>100</v>
      </c>
      <c r="T1447" s="962"/>
      <c r="U1447" s="281"/>
      <c r="V1447" s="288"/>
    </row>
    <row r="1448" spans="2:22">
      <c r="B1448" s="648" t="s">
        <v>4249</v>
      </c>
      <c r="C1448" s="648"/>
      <c r="D1448" s="282"/>
      <c r="E1448" s="659"/>
      <c r="F1448" s="659"/>
      <c r="G1448" s="281"/>
      <c r="H1448" s="281"/>
      <c r="L1448" s="283"/>
      <c r="M1448" s="283"/>
      <c r="N1448" s="283"/>
      <c r="O1448" s="283"/>
      <c r="P1448" s="654"/>
      <c r="Q1448" s="21"/>
      <c r="R1448" s="1019">
        <v>100</v>
      </c>
      <c r="S1448" s="1019">
        <v>100</v>
      </c>
      <c r="T1448" s="962"/>
      <c r="U1448" s="281"/>
      <c r="V1448" s="288"/>
    </row>
    <row r="1449" spans="2:22">
      <c r="B1449" s="648" t="s">
        <v>4250</v>
      </c>
      <c r="C1449" s="648"/>
      <c r="D1449" s="282"/>
      <c r="E1449" s="659"/>
      <c r="F1449" s="659"/>
      <c r="G1449" s="281"/>
      <c r="H1449" s="281"/>
      <c r="L1449" s="283"/>
      <c r="M1449" s="283"/>
      <c r="N1449" s="283"/>
      <c r="O1449" s="283"/>
      <c r="P1449" s="654"/>
      <c r="Q1449" s="21"/>
      <c r="R1449" s="1019">
        <v>100</v>
      </c>
      <c r="S1449" s="1019">
        <v>100</v>
      </c>
      <c r="T1449" s="962"/>
      <c r="U1449" s="281"/>
      <c r="V1449" s="288"/>
    </row>
    <row r="1450" spans="2:22">
      <c r="B1450" s="648" t="s">
        <v>4251</v>
      </c>
      <c r="C1450" s="648"/>
      <c r="D1450" s="282"/>
      <c r="E1450" s="659"/>
      <c r="F1450" s="659"/>
      <c r="G1450" s="281"/>
      <c r="H1450" s="281"/>
      <c r="L1450" s="283"/>
      <c r="M1450" s="283"/>
      <c r="N1450" s="283"/>
      <c r="O1450" s="283"/>
      <c r="P1450" s="654"/>
      <c r="Q1450" s="21"/>
      <c r="R1450" s="1019">
        <v>100</v>
      </c>
      <c r="S1450" s="1019">
        <v>100</v>
      </c>
      <c r="T1450" s="962"/>
      <c r="U1450" s="281"/>
      <c r="V1450" s="288"/>
    </row>
    <row r="1451" spans="2:22">
      <c r="B1451" s="648" t="s">
        <v>4252</v>
      </c>
      <c r="C1451" s="648"/>
      <c r="D1451" s="282"/>
      <c r="E1451" s="659"/>
      <c r="F1451" s="659"/>
      <c r="G1451" s="281"/>
      <c r="H1451" s="281"/>
      <c r="L1451" s="283"/>
      <c r="M1451" s="283"/>
      <c r="N1451" s="283"/>
      <c r="O1451" s="283"/>
      <c r="P1451" s="654"/>
      <c r="Q1451" s="21"/>
      <c r="R1451" s="1019">
        <v>100</v>
      </c>
      <c r="S1451" s="1019">
        <v>100</v>
      </c>
      <c r="T1451" s="962"/>
      <c r="U1451" s="281"/>
      <c r="V1451" s="288"/>
    </row>
    <row r="1452" spans="2:22">
      <c r="B1452" s="648" t="s">
        <v>4253</v>
      </c>
      <c r="C1452" s="648"/>
      <c r="D1452" s="282"/>
      <c r="E1452" s="659"/>
      <c r="F1452" s="659"/>
      <c r="G1452" s="281"/>
      <c r="H1452" s="281"/>
      <c r="L1452" s="283"/>
      <c r="M1452" s="283"/>
      <c r="N1452" s="283"/>
      <c r="O1452" s="283"/>
      <c r="P1452" s="654"/>
      <c r="Q1452" s="21"/>
      <c r="R1452" s="1019">
        <v>100</v>
      </c>
      <c r="S1452" s="1019">
        <v>100</v>
      </c>
      <c r="T1452" s="962"/>
      <c r="U1452" s="281"/>
      <c r="V1452" s="288"/>
    </row>
    <row r="1453" spans="2:22">
      <c r="B1453" s="648" t="s">
        <v>4254</v>
      </c>
      <c r="C1453" s="648"/>
      <c r="D1453" s="282"/>
      <c r="E1453" s="659"/>
      <c r="F1453" s="659"/>
      <c r="G1453" s="281"/>
      <c r="H1453" s="281"/>
      <c r="L1453" s="283"/>
      <c r="M1453" s="283"/>
      <c r="N1453" s="283"/>
      <c r="O1453" s="283"/>
      <c r="P1453" s="654"/>
      <c r="Q1453" s="21"/>
      <c r="R1453" s="1019">
        <v>100</v>
      </c>
      <c r="S1453" s="1019">
        <v>100</v>
      </c>
      <c r="T1453" s="962"/>
      <c r="U1453" s="281"/>
      <c r="V1453" s="288"/>
    </row>
    <row r="1454" spans="2:22">
      <c r="B1454" s="648" t="s">
        <v>4255</v>
      </c>
      <c r="C1454" s="648"/>
      <c r="D1454" s="282"/>
      <c r="E1454" s="659"/>
      <c r="F1454" s="659"/>
      <c r="G1454" s="281"/>
      <c r="H1454" s="281"/>
      <c r="L1454" s="283"/>
      <c r="M1454" s="283"/>
      <c r="N1454" s="283"/>
      <c r="O1454" s="283"/>
      <c r="P1454" s="654"/>
      <c r="Q1454" s="21"/>
      <c r="R1454" s="1019">
        <v>100</v>
      </c>
      <c r="S1454" s="1019">
        <v>100</v>
      </c>
      <c r="T1454" s="962"/>
      <c r="U1454" s="281"/>
      <c r="V1454" s="288"/>
    </row>
    <row r="1455" spans="2:22">
      <c r="B1455" s="648" t="s">
        <v>4256</v>
      </c>
      <c r="C1455" s="648"/>
      <c r="D1455" s="282"/>
      <c r="E1455" s="659"/>
      <c r="F1455" s="659"/>
      <c r="G1455" s="281"/>
      <c r="H1455" s="281"/>
      <c r="L1455" s="283"/>
      <c r="M1455" s="283"/>
      <c r="N1455" s="283"/>
      <c r="O1455" s="283"/>
      <c r="P1455" s="654"/>
      <c r="Q1455" s="21"/>
      <c r="R1455" s="1019">
        <v>100</v>
      </c>
      <c r="S1455" s="1019">
        <v>100</v>
      </c>
      <c r="T1455" s="962"/>
      <c r="U1455" s="281"/>
      <c r="V1455" s="288"/>
    </row>
    <row r="1456" spans="2:22">
      <c r="B1456" s="648" t="s">
        <v>4257</v>
      </c>
      <c r="C1456" s="648"/>
      <c r="D1456" s="282"/>
      <c r="E1456" s="659"/>
      <c r="F1456" s="659"/>
      <c r="G1456" s="281"/>
      <c r="H1456" s="281"/>
      <c r="L1456" s="283"/>
      <c r="M1456" s="283"/>
      <c r="N1456" s="283"/>
      <c r="O1456" s="283"/>
      <c r="P1456" s="654"/>
      <c r="Q1456" s="21"/>
      <c r="R1456" s="1019">
        <v>100</v>
      </c>
      <c r="S1456" s="1019">
        <v>100</v>
      </c>
      <c r="T1456" s="962"/>
      <c r="U1456" s="281"/>
      <c r="V1456" s="288"/>
    </row>
    <row r="1457" spans="2:22" ht="30">
      <c r="B1457" s="653" t="s">
        <v>331</v>
      </c>
      <c r="C1457" s="653"/>
      <c r="D1457" s="658" t="s">
        <v>4259</v>
      </c>
      <c r="E1457" s="656">
        <v>41347</v>
      </c>
      <c r="F1457" s="656"/>
      <c r="G1457" s="654" t="s">
        <v>4258</v>
      </c>
      <c r="H1457" s="654"/>
      <c r="I1457" s="31"/>
      <c r="J1457" s="1233"/>
      <c r="K1457" s="31"/>
      <c r="L1457" s="21">
        <v>8000</v>
      </c>
      <c r="M1457" s="21"/>
      <c r="N1457" s="21">
        <f t="shared" si="240"/>
        <v>8000</v>
      </c>
      <c r="O1457" s="283"/>
      <c r="P1457" s="647" t="s">
        <v>110</v>
      </c>
      <c r="Q1457" s="1136" t="s">
        <v>105</v>
      </c>
      <c r="R1457" s="963">
        <v>8000</v>
      </c>
      <c r="S1457" s="963">
        <v>8000</v>
      </c>
      <c r="T1457" s="961"/>
      <c r="U1457" s="654"/>
      <c r="V1457" s="523" t="s">
        <v>307</v>
      </c>
    </row>
    <row r="1458" spans="2:22" ht="30">
      <c r="B1458" s="653" t="s">
        <v>314</v>
      </c>
      <c r="C1458" s="653"/>
      <c r="D1458" s="658" t="s">
        <v>4260</v>
      </c>
      <c r="E1458" s="656">
        <v>41348</v>
      </c>
      <c r="F1458" s="656"/>
      <c r="G1458" s="654" t="s">
        <v>3965</v>
      </c>
      <c r="H1458" s="654"/>
      <c r="I1458" s="31"/>
      <c r="J1458" s="1233"/>
      <c r="K1458" s="31"/>
      <c r="L1458" s="21">
        <v>1000</v>
      </c>
      <c r="M1458" s="21"/>
      <c r="N1458" s="21">
        <f t="shared" si="240"/>
        <v>1000</v>
      </c>
      <c r="O1458" s="283"/>
      <c r="P1458" s="647" t="s">
        <v>110</v>
      </c>
      <c r="Q1458" s="1136" t="s">
        <v>105</v>
      </c>
      <c r="R1458" s="963">
        <v>1000</v>
      </c>
      <c r="S1458" s="963">
        <v>1000</v>
      </c>
      <c r="T1458" s="961"/>
      <c r="U1458" s="654"/>
      <c r="V1458" s="523" t="s">
        <v>307</v>
      </c>
    </row>
    <row r="1459" spans="2:22" ht="30">
      <c r="B1459" s="653" t="s">
        <v>321</v>
      </c>
      <c r="C1459" s="653"/>
      <c r="D1459" s="658" t="s">
        <v>4261</v>
      </c>
      <c r="E1459" s="656">
        <v>41348</v>
      </c>
      <c r="F1459" s="656"/>
      <c r="G1459" s="654" t="s">
        <v>3991</v>
      </c>
      <c r="H1459" s="654"/>
      <c r="I1459" s="31"/>
      <c r="J1459" s="1233"/>
      <c r="K1459" s="31"/>
      <c r="L1459" s="21">
        <v>11000</v>
      </c>
      <c r="M1459" s="21"/>
      <c r="N1459" s="21">
        <f t="shared" si="240"/>
        <v>11000</v>
      </c>
      <c r="O1459" s="283"/>
      <c r="P1459" s="647" t="s">
        <v>110</v>
      </c>
      <c r="Q1459" s="1136" t="s">
        <v>105</v>
      </c>
      <c r="R1459" s="963">
        <v>11000</v>
      </c>
      <c r="S1459" s="963">
        <v>11000</v>
      </c>
      <c r="T1459" s="654" t="s">
        <v>6471</v>
      </c>
      <c r="U1459" s="654"/>
      <c r="V1459" s="523" t="s">
        <v>307</v>
      </c>
    </row>
    <row r="1460" spans="2:22" ht="30">
      <c r="B1460" s="653" t="s">
        <v>380</v>
      </c>
      <c r="C1460" s="653"/>
      <c r="D1460" s="658" t="s">
        <v>4263</v>
      </c>
      <c r="E1460" s="656">
        <v>41348</v>
      </c>
      <c r="F1460" s="656"/>
      <c r="G1460" s="654" t="s">
        <v>4262</v>
      </c>
      <c r="H1460" s="654"/>
      <c r="I1460" s="31"/>
      <c r="J1460" s="1233"/>
      <c r="K1460" s="31"/>
      <c r="L1460" s="21">
        <v>400</v>
      </c>
      <c r="M1460" s="21"/>
      <c r="N1460" s="21">
        <f t="shared" si="240"/>
        <v>400</v>
      </c>
      <c r="O1460" s="283"/>
      <c r="P1460" s="647" t="s">
        <v>110</v>
      </c>
      <c r="Q1460" s="1136" t="s">
        <v>105</v>
      </c>
      <c r="R1460" s="968"/>
      <c r="S1460" s="968"/>
      <c r="T1460" s="961"/>
      <c r="U1460" s="654"/>
      <c r="V1460" s="523" t="s">
        <v>307</v>
      </c>
    </row>
    <row r="1461" spans="2:22">
      <c r="B1461" s="648" t="s">
        <v>4264</v>
      </c>
      <c r="C1461" s="648"/>
      <c r="D1461" s="282"/>
      <c r="E1461" s="659"/>
      <c r="F1461" s="659"/>
      <c r="G1461" s="281"/>
      <c r="H1461" s="281"/>
      <c r="L1461" s="283"/>
      <c r="M1461" s="283"/>
      <c r="N1461" s="283"/>
      <c r="O1461" s="283"/>
      <c r="P1461" s="654"/>
      <c r="Q1461" s="21"/>
      <c r="R1461" s="1019">
        <v>100</v>
      </c>
      <c r="S1461" s="1019">
        <v>100</v>
      </c>
      <c r="T1461" s="962"/>
      <c r="U1461" s="281"/>
      <c r="V1461" s="288"/>
    </row>
    <row r="1462" spans="2:22">
      <c r="B1462" s="648" t="s">
        <v>4265</v>
      </c>
      <c r="C1462" s="648"/>
      <c r="D1462" s="282"/>
      <c r="E1462" s="659"/>
      <c r="F1462" s="659"/>
      <c r="G1462" s="281"/>
      <c r="H1462" s="281"/>
      <c r="L1462" s="283"/>
      <c r="M1462" s="283"/>
      <c r="N1462" s="283"/>
      <c r="O1462" s="283"/>
      <c r="P1462" s="654"/>
      <c r="Q1462" s="21"/>
      <c r="R1462" s="1019">
        <v>100</v>
      </c>
      <c r="S1462" s="1019">
        <v>100</v>
      </c>
      <c r="T1462" s="962"/>
      <c r="U1462" s="281"/>
      <c r="V1462" s="288"/>
    </row>
    <row r="1463" spans="2:22">
      <c r="B1463" s="648" t="s">
        <v>4266</v>
      </c>
      <c r="C1463" s="648"/>
      <c r="D1463" s="282"/>
      <c r="E1463" s="659"/>
      <c r="F1463" s="659"/>
      <c r="G1463" s="281"/>
      <c r="H1463" s="281"/>
      <c r="L1463" s="283"/>
      <c r="M1463" s="283"/>
      <c r="N1463" s="283"/>
      <c r="O1463" s="283"/>
      <c r="P1463" s="654"/>
      <c r="Q1463" s="21"/>
      <c r="R1463" s="1019">
        <v>100</v>
      </c>
      <c r="S1463" s="1019">
        <v>100</v>
      </c>
      <c r="T1463" s="962"/>
      <c r="U1463" s="281"/>
      <c r="V1463" s="288"/>
    </row>
    <row r="1464" spans="2:22">
      <c r="B1464" s="648" t="s">
        <v>4267</v>
      </c>
      <c r="C1464" s="648"/>
      <c r="D1464" s="282"/>
      <c r="E1464" s="659"/>
      <c r="F1464" s="659"/>
      <c r="G1464" s="281"/>
      <c r="H1464" s="281"/>
      <c r="L1464" s="283"/>
      <c r="M1464" s="283"/>
      <c r="N1464" s="283"/>
      <c r="O1464" s="283"/>
      <c r="P1464" s="654"/>
      <c r="Q1464" s="21"/>
      <c r="R1464" s="1019">
        <v>100</v>
      </c>
      <c r="S1464" s="1019">
        <v>100</v>
      </c>
      <c r="T1464" s="962"/>
      <c r="U1464" s="281"/>
      <c r="V1464" s="288"/>
    </row>
    <row r="1465" spans="2:22" ht="30">
      <c r="B1465" s="653" t="s">
        <v>343</v>
      </c>
      <c r="C1465" s="653"/>
      <c r="D1465" s="658" t="s">
        <v>4268</v>
      </c>
      <c r="E1465" s="656">
        <v>41348</v>
      </c>
      <c r="F1465" s="656"/>
      <c r="G1465" s="654" t="s">
        <v>3987</v>
      </c>
      <c r="H1465" s="654"/>
      <c r="I1465" s="31"/>
      <c r="J1465" s="1233"/>
      <c r="K1465" s="31"/>
      <c r="L1465" s="21">
        <v>10000</v>
      </c>
      <c r="M1465" s="21"/>
      <c r="N1465" s="21">
        <f t="shared" si="240"/>
        <v>10000</v>
      </c>
      <c r="O1465" s="283"/>
      <c r="P1465" s="647" t="s">
        <v>110</v>
      </c>
      <c r="Q1465" s="1136" t="s">
        <v>105</v>
      </c>
      <c r="R1465" s="963">
        <v>10000</v>
      </c>
      <c r="S1465" s="963">
        <v>10000</v>
      </c>
      <c r="T1465" s="961"/>
      <c r="U1465" s="654"/>
      <c r="V1465" s="523" t="s">
        <v>307</v>
      </c>
    </row>
    <row r="1466" spans="2:22" ht="30">
      <c r="B1466" s="653" t="s">
        <v>380</v>
      </c>
      <c r="C1466" s="653"/>
      <c r="D1466" s="658" t="s">
        <v>4269</v>
      </c>
      <c r="E1466" s="656">
        <v>41348</v>
      </c>
      <c r="F1466" s="656"/>
      <c r="G1466" s="654" t="s">
        <v>3916</v>
      </c>
      <c r="H1466" s="654"/>
      <c r="I1466" s="31"/>
      <c r="J1466" s="1233"/>
      <c r="K1466" s="31"/>
      <c r="L1466" s="21">
        <f>14022500/1000</f>
        <v>14022.5</v>
      </c>
      <c r="M1466" s="21"/>
      <c r="N1466" s="21">
        <f t="shared" si="240"/>
        <v>14022.5</v>
      </c>
      <c r="O1466" s="283"/>
      <c r="P1466" s="647" t="s">
        <v>110</v>
      </c>
      <c r="Q1466" s="1136" t="s">
        <v>105</v>
      </c>
      <c r="R1466" s="963">
        <f>14022500/1000</f>
        <v>14022.5</v>
      </c>
      <c r="S1466" s="963">
        <f>14022500/1000</f>
        <v>14022.5</v>
      </c>
      <c r="T1466" s="1007">
        <v>7222</v>
      </c>
      <c r="U1466" s="654"/>
      <c r="V1466" s="523" t="s">
        <v>307</v>
      </c>
    </row>
    <row r="1467" spans="2:22" ht="30">
      <c r="B1467" s="653" t="s">
        <v>4270</v>
      </c>
      <c r="C1467" s="653"/>
      <c r="D1467" s="658" t="s">
        <v>4272</v>
      </c>
      <c r="E1467" s="656">
        <v>41348</v>
      </c>
      <c r="F1467" s="656"/>
      <c r="G1467" s="654" t="s">
        <v>4271</v>
      </c>
      <c r="H1467" s="654"/>
      <c r="I1467" s="31"/>
      <c r="J1467" s="1233"/>
      <c r="K1467" s="31"/>
      <c r="L1467" s="21">
        <v>3000</v>
      </c>
      <c r="M1467" s="21"/>
      <c r="N1467" s="21">
        <f t="shared" si="240"/>
        <v>3000</v>
      </c>
      <c r="O1467" s="283"/>
      <c r="P1467" s="647" t="s">
        <v>110</v>
      </c>
      <c r="Q1467" s="1136" t="s">
        <v>105</v>
      </c>
      <c r="R1467" s="963">
        <v>3000</v>
      </c>
      <c r="S1467" s="963">
        <v>3000</v>
      </c>
      <c r="T1467" s="961"/>
      <c r="U1467" s="654"/>
      <c r="V1467" s="523" t="s">
        <v>307</v>
      </c>
    </row>
    <row r="1468" spans="2:22" ht="30">
      <c r="B1468" s="653" t="s">
        <v>319</v>
      </c>
      <c r="C1468" s="653"/>
      <c r="D1468" s="658" t="s">
        <v>4273</v>
      </c>
      <c r="E1468" s="656">
        <v>41348</v>
      </c>
      <c r="F1468" s="656"/>
      <c r="G1468" s="654" t="s">
        <v>3940</v>
      </c>
      <c r="H1468" s="654"/>
      <c r="I1468" s="31"/>
      <c r="J1468" s="1233"/>
      <c r="K1468" s="31"/>
      <c r="L1468" s="21">
        <v>8150</v>
      </c>
      <c r="M1468" s="21"/>
      <c r="N1468" s="21">
        <f t="shared" si="240"/>
        <v>8150</v>
      </c>
      <c r="O1468" s="283"/>
      <c r="P1468" s="647" t="s">
        <v>110</v>
      </c>
      <c r="Q1468" s="1136" t="s">
        <v>105</v>
      </c>
      <c r="R1468" s="963">
        <v>8150</v>
      </c>
      <c r="S1468" s="963">
        <v>8150</v>
      </c>
      <c r="T1468" s="961"/>
      <c r="U1468" s="654"/>
      <c r="V1468" s="523" t="s">
        <v>307</v>
      </c>
    </row>
    <row r="1469" spans="2:22" ht="30">
      <c r="B1469" s="653" t="s">
        <v>314</v>
      </c>
      <c r="C1469" s="653"/>
      <c r="D1469" s="658" t="s">
        <v>4275</v>
      </c>
      <c r="E1469" s="656">
        <v>41351</v>
      </c>
      <c r="F1469" s="656"/>
      <c r="G1469" s="654" t="s">
        <v>4274</v>
      </c>
      <c r="H1469" s="654"/>
      <c r="I1469" s="31"/>
      <c r="J1469" s="1233"/>
      <c r="K1469" s="31"/>
      <c r="L1469" s="21">
        <v>5500</v>
      </c>
      <c r="M1469" s="21"/>
      <c r="N1469" s="21">
        <f t="shared" si="240"/>
        <v>5500</v>
      </c>
      <c r="O1469" s="283"/>
      <c r="P1469" s="647" t="s">
        <v>110</v>
      </c>
      <c r="Q1469" s="1136" t="s">
        <v>105</v>
      </c>
      <c r="R1469" s="963">
        <v>5500</v>
      </c>
      <c r="S1469" s="963">
        <v>5500</v>
      </c>
      <c r="T1469" s="961"/>
      <c r="U1469" s="654"/>
      <c r="V1469" s="523" t="s">
        <v>307</v>
      </c>
    </row>
    <row r="1470" spans="2:22" ht="30">
      <c r="B1470" s="653" t="s">
        <v>319</v>
      </c>
      <c r="C1470" s="653"/>
      <c r="D1470" s="658" t="s">
        <v>4276</v>
      </c>
      <c r="E1470" s="656">
        <v>41351</v>
      </c>
      <c r="F1470" s="656"/>
      <c r="G1470" s="654" t="s">
        <v>3940</v>
      </c>
      <c r="H1470" s="654"/>
      <c r="I1470" s="31"/>
      <c r="J1470" s="1233"/>
      <c r="K1470" s="31"/>
      <c r="L1470" s="21">
        <v>24150</v>
      </c>
      <c r="M1470" s="21"/>
      <c r="N1470" s="21">
        <f t="shared" si="240"/>
        <v>24150</v>
      </c>
      <c r="O1470" s="283"/>
      <c r="P1470" s="647" t="s">
        <v>110</v>
      </c>
      <c r="Q1470" s="1136" t="s">
        <v>105</v>
      </c>
      <c r="R1470" s="963">
        <v>24150</v>
      </c>
      <c r="S1470" s="963">
        <v>24150</v>
      </c>
      <c r="T1470" s="961"/>
      <c r="U1470" s="654"/>
      <c r="V1470" s="523" t="s">
        <v>307</v>
      </c>
    </row>
    <row r="1471" spans="2:22" ht="30">
      <c r="B1471" s="653" t="s">
        <v>321</v>
      </c>
      <c r="C1471" s="653"/>
      <c r="D1471" s="658" t="s">
        <v>4277</v>
      </c>
      <c r="E1471" s="656">
        <v>41352</v>
      </c>
      <c r="F1471" s="656"/>
      <c r="G1471" s="654" t="s">
        <v>315</v>
      </c>
      <c r="H1471" s="654"/>
      <c r="I1471" s="31"/>
      <c r="J1471" s="1233"/>
      <c r="K1471" s="31"/>
      <c r="L1471" s="21">
        <v>7500</v>
      </c>
      <c r="M1471" s="21"/>
      <c r="N1471" s="21">
        <f t="shared" si="240"/>
        <v>7500</v>
      </c>
      <c r="O1471" s="283"/>
      <c r="P1471" s="647" t="s">
        <v>110</v>
      </c>
      <c r="Q1471" s="1136" t="s">
        <v>105</v>
      </c>
      <c r="R1471" s="963">
        <v>7500</v>
      </c>
      <c r="S1471" s="963">
        <v>7500</v>
      </c>
      <c r="T1471" s="961"/>
      <c r="U1471" s="654"/>
      <c r="V1471" s="523" t="s">
        <v>307</v>
      </c>
    </row>
    <row r="1472" spans="2:22">
      <c r="B1472" s="985" t="s">
        <v>6472</v>
      </c>
      <c r="C1472" s="653"/>
      <c r="D1472" s="658"/>
      <c r="E1472" s="656"/>
      <c r="F1472" s="656"/>
      <c r="G1472" s="654"/>
      <c r="H1472" s="654"/>
      <c r="I1472" s="31"/>
      <c r="J1472" s="1233"/>
      <c r="K1472" s="31"/>
      <c r="L1472" s="21"/>
      <c r="M1472" s="21"/>
      <c r="N1472" s="21"/>
      <c r="O1472" s="283"/>
      <c r="P1472" s="647"/>
      <c r="Q1472" s="1136"/>
      <c r="R1472" s="963"/>
      <c r="S1472" s="963"/>
      <c r="T1472" s="654" t="s">
        <v>6411</v>
      </c>
      <c r="U1472" s="654"/>
      <c r="V1472" s="523"/>
    </row>
    <row r="1473" spans="2:22">
      <c r="B1473" s="985" t="s">
        <v>6473</v>
      </c>
      <c r="C1473" s="653"/>
      <c r="D1473" s="658"/>
      <c r="E1473" s="656"/>
      <c r="F1473" s="656"/>
      <c r="G1473" s="654"/>
      <c r="H1473" s="654"/>
      <c r="I1473" s="31"/>
      <c r="J1473" s="1233"/>
      <c r="K1473" s="31"/>
      <c r="L1473" s="21"/>
      <c r="M1473" s="21"/>
      <c r="N1473" s="21"/>
      <c r="O1473" s="283"/>
      <c r="P1473" s="647"/>
      <c r="Q1473" s="1136"/>
      <c r="R1473" s="963"/>
      <c r="S1473" s="963"/>
      <c r="T1473" s="654" t="s">
        <v>6475</v>
      </c>
      <c r="U1473" s="654"/>
      <c r="V1473" s="523"/>
    </row>
    <row r="1474" spans="2:22">
      <c r="B1474" s="985" t="s">
        <v>6474</v>
      </c>
      <c r="C1474" s="653"/>
      <c r="D1474" s="658"/>
      <c r="E1474" s="656"/>
      <c r="F1474" s="656"/>
      <c r="G1474" s="654"/>
      <c r="H1474" s="654"/>
      <c r="I1474" s="31"/>
      <c r="J1474" s="1233"/>
      <c r="K1474" s="31"/>
      <c r="L1474" s="21"/>
      <c r="M1474" s="21"/>
      <c r="N1474" s="21"/>
      <c r="O1474" s="283"/>
      <c r="P1474" s="647"/>
      <c r="Q1474" s="1136"/>
      <c r="R1474" s="963"/>
      <c r="S1474" s="963"/>
      <c r="T1474" s="961"/>
      <c r="U1474" s="654"/>
      <c r="V1474" s="523"/>
    </row>
    <row r="1475" spans="2:22">
      <c r="B1475" s="653"/>
      <c r="C1475" s="653"/>
      <c r="D1475" s="658"/>
      <c r="E1475" s="656"/>
      <c r="F1475" s="656"/>
      <c r="G1475" s="654"/>
      <c r="H1475" s="654"/>
      <c r="I1475" s="31"/>
      <c r="J1475" s="1233"/>
      <c r="K1475" s="31"/>
      <c r="L1475" s="21"/>
      <c r="M1475" s="21"/>
      <c r="N1475" s="21"/>
      <c r="O1475" s="283"/>
      <c r="P1475" s="647"/>
      <c r="Q1475" s="1136"/>
      <c r="R1475" s="963"/>
      <c r="S1475" s="963"/>
      <c r="T1475" s="961"/>
      <c r="U1475" s="654"/>
      <c r="V1475" s="523"/>
    </row>
    <row r="1476" spans="2:22" ht="30">
      <c r="B1476" s="653" t="s">
        <v>331</v>
      </c>
      <c r="C1476" s="653"/>
      <c r="D1476" s="658" t="s">
        <v>4279</v>
      </c>
      <c r="E1476" s="656">
        <v>41353</v>
      </c>
      <c r="F1476" s="656"/>
      <c r="G1476" s="654" t="s">
        <v>4278</v>
      </c>
      <c r="H1476" s="654"/>
      <c r="I1476" s="31"/>
      <c r="J1476" s="1233"/>
      <c r="K1476" s="31"/>
      <c r="L1476" s="21">
        <v>2000</v>
      </c>
      <c r="M1476" s="21"/>
      <c r="N1476" s="21">
        <f t="shared" si="240"/>
        <v>2000</v>
      </c>
      <c r="O1476" s="283"/>
      <c r="P1476" s="647" t="s">
        <v>110</v>
      </c>
      <c r="Q1476" s="1136" t="s">
        <v>105</v>
      </c>
      <c r="R1476" s="963">
        <v>2000</v>
      </c>
      <c r="S1476" s="963">
        <v>2000</v>
      </c>
      <c r="T1476" s="961"/>
      <c r="U1476" s="654"/>
      <c r="V1476" s="523" t="s">
        <v>307</v>
      </c>
    </row>
    <row r="1477" spans="2:22" ht="30">
      <c r="B1477" s="653" t="s">
        <v>319</v>
      </c>
      <c r="C1477" s="653"/>
      <c r="D1477" s="658" t="s">
        <v>4280</v>
      </c>
      <c r="E1477" s="656">
        <v>41354</v>
      </c>
      <c r="F1477" s="656"/>
      <c r="G1477" s="654" t="s">
        <v>3940</v>
      </c>
      <c r="H1477" s="654"/>
      <c r="I1477" s="31"/>
      <c r="J1477" s="1233"/>
      <c r="K1477" s="31"/>
      <c r="L1477" s="21">
        <v>9900</v>
      </c>
      <c r="M1477" s="21"/>
      <c r="N1477" s="21">
        <f t="shared" si="240"/>
        <v>9900</v>
      </c>
      <c r="O1477" s="283"/>
      <c r="P1477" s="647" t="s">
        <v>110</v>
      </c>
      <c r="Q1477" s="1136" t="s">
        <v>105</v>
      </c>
      <c r="R1477" s="963">
        <v>9900</v>
      </c>
      <c r="S1477" s="963">
        <v>9900</v>
      </c>
      <c r="T1477" s="961"/>
      <c r="U1477" s="654"/>
      <c r="V1477" s="523" t="s">
        <v>307</v>
      </c>
    </row>
    <row r="1478" spans="2:22" ht="30">
      <c r="B1478" s="653" t="s">
        <v>311</v>
      </c>
      <c r="C1478" s="653"/>
      <c r="D1478" s="658" t="s">
        <v>4282</v>
      </c>
      <c r="E1478" s="656">
        <v>41354</v>
      </c>
      <c r="F1478" s="656"/>
      <c r="G1478" s="654" t="s">
        <v>4281</v>
      </c>
      <c r="H1478" s="654"/>
      <c r="I1478" s="31"/>
      <c r="J1478" s="1233"/>
      <c r="K1478" s="31"/>
      <c r="L1478" s="21">
        <v>2000</v>
      </c>
      <c r="M1478" s="21"/>
      <c r="N1478" s="21">
        <f t="shared" si="240"/>
        <v>2000</v>
      </c>
      <c r="O1478" s="283"/>
      <c r="P1478" s="647" t="s">
        <v>110</v>
      </c>
      <c r="Q1478" s="1136" t="s">
        <v>105</v>
      </c>
      <c r="R1478" s="963">
        <v>2000</v>
      </c>
      <c r="S1478" s="963">
        <v>2000</v>
      </c>
      <c r="T1478" s="961"/>
      <c r="U1478" s="654"/>
      <c r="V1478" s="523" t="s">
        <v>307</v>
      </c>
    </row>
    <row r="1479" spans="2:22" ht="30">
      <c r="B1479" s="653" t="s">
        <v>321</v>
      </c>
      <c r="C1479" s="653"/>
      <c r="D1479" s="658" t="s">
        <v>4284</v>
      </c>
      <c r="E1479" s="656">
        <v>41354</v>
      </c>
      <c r="F1479" s="656"/>
      <c r="G1479" s="654" t="s">
        <v>4283</v>
      </c>
      <c r="H1479" s="654"/>
      <c r="I1479" s="31"/>
      <c r="J1479" s="1233"/>
      <c r="K1479" s="31"/>
      <c r="L1479" s="21">
        <v>5000</v>
      </c>
      <c r="M1479" s="21"/>
      <c r="N1479" s="21">
        <f t="shared" si="240"/>
        <v>5000</v>
      </c>
      <c r="O1479" s="283"/>
      <c r="P1479" s="647" t="s">
        <v>110</v>
      </c>
      <c r="Q1479" s="1136" t="s">
        <v>105</v>
      </c>
      <c r="R1479" s="963">
        <v>5000</v>
      </c>
      <c r="S1479" s="963">
        <v>5000</v>
      </c>
      <c r="T1479" s="961"/>
      <c r="U1479" s="654"/>
      <c r="V1479" s="523" t="s">
        <v>307</v>
      </c>
    </row>
    <row r="1480" spans="2:22" ht="45">
      <c r="B1480" s="653" t="s">
        <v>2651</v>
      </c>
      <c r="C1480" s="653"/>
      <c r="D1480" s="658" t="s">
        <v>4286</v>
      </c>
      <c r="E1480" s="656">
        <v>41354</v>
      </c>
      <c r="F1480" s="656"/>
      <c r="G1480" s="654" t="s">
        <v>4285</v>
      </c>
      <c r="H1480" s="654"/>
      <c r="I1480" s="31"/>
      <c r="J1480" s="1233"/>
      <c r="K1480" s="31"/>
      <c r="L1480" s="21">
        <v>10000</v>
      </c>
      <c r="M1480" s="21"/>
      <c r="N1480" s="21">
        <f t="shared" si="240"/>
        <v>10000</v>
      </c>
      <c r="O1480" s="283"/>
      <c r="P1480" s="647" t="s">
        <v>110</v>
      </c>
      <c r="Q1480" s="1136" t="s">
        <v>105</v>
      </c>
      <c r="R1480" s="963">
        <v>10000</v>
      </c>
      <c r="S1480" s="963">
        <v>10000</v>
      </c>
      <c r="T1480" s="965" t="s">
        <v>4652</v>
      </c>
      <c r="U1480" s="654"/>
      <c r="V1480" s="523" t="s">
        <v>307</v>
      </c>
    </row>
    <row r="1481" spans="2:22" ht="30">
      <c r="B1481" s="653" t="s">
        <v>343</v>
      </c>
      <c r="C1481" s="653"/>
      <c r="D1481" s="658" t="s">
        <v>4287</v>
      </c>
      <c r="E1481" s="656">
        <v>41355</v>
      </c>
      <c r="F1481" s="656"/>
      <c r="G1481" s="654" t="s">
        <v>3557</v>
      </c>
      <c r="H1481" s="654"/>
      <c r="I1481" s="31"/>
      <c r="J1481" s="1233"/>
      <c r="K1481" s="31"/>
      <c r="L1481" s="21">
        <v>300</v>
      </c>
      <c r="M1481" s="21"/>
      <c r="N1481" s="21">
        <f t="shared" si="240"/>
        <v>300</v>
      </c>
      <c r="O1481" s="283"/>
      <c r="P1481" s="647" t="s">
        <v>110</v>
      </c>
      <c r="Q1481" s="1136" t="s">
        <v>105</v>
      </c>
      <c r="R1481" s="968"/>
      <c r="S1481" s="968"/>
      <c r="T1481" s="961"/>
      <c r="U1481" s="654"/>
      <c r="V1481" s="523" t="s">
        <v>307</v>
      </c>
    </row>
    <row r="1482" spans="2:22">
      <c r="B1482" s="648" t="s">
        <v>4288</v>
      </c>
      <c r="C1482" s="648"/>
      <c r="D1482" s="282"/>
      <c r="E1482" s="659"/>
      <c r="F1482" s="659"/>
      <c r="G1482" s="281"/>
      <c r="H1482" s="281"/>
      <c r="L1482" s="283"/>
      <c r="M1482" s="283"/>
      <c r="N1482" s="283"/>
      <c r="O1482" s="283"/>
      <c r="P1482" s="654"/>
      <c r="Q1482" s="21"/>
      <c r="R1482" s="1019">
        <v>100</v>
      </c>
      <c r="S1482" s="1019">
        <v>100</v>
      </c>
      <c r="T1482" s="962"/>
      <c r="U1482" s="281"/>
      <c r="V1482" s="288"/>
    </row>
    <row r="1483" spans="2:22">
      <c r="B1483" s="648" t="s">
        <v>4289</v>
      </c>
      <c r="C1483" s="648"/>
      <c r="D1483" s="282"/>
      <c r="E1483" s="659"/>
      <c r="F1483" s="659"/>
      <c r="G1483" s="281"/>
      <c r="H1483" s="281"/>
      <c r="L1483" s="283"/>
      <c r="M1483" s="283"/>
      <c r="N1483" s="283"/>
      <c r="O1483" s="283"/>
      <c r="P1483" s="654"/>
      <c r="Q1483" s="21"/>
      <c r="R1483" s="1019">
        <v>100</v>
      </c>
      <c r="S1483" s="1019">
        <v>100</v>
      </c>
      <c r="T1483" s="962"/>
      <c r="U1483" s="281"/>
      <c r="V1483" s="288"/>
    </row>
    <row r="1484" spans="2:22">
      <c r="B1484" s="648" t="s">
        <v>4290</v>
      </c>
      <c r="C1484" s="648"/>
      <c r="D1484" s="282"/>
      <c r="E1484" s="659"/>
      <c r="F1484" s="659"/>
      <c r="G1484" s="281"/>
      <c r="H1484" s="281"/>
      <c r="L1484" s="283"/>
      <c r="M1484" s="283"/>
      <c r="N1484" s="283"/>
      <c r="O1484" s="283"/>
      <c r="P1484" s="654"/>
      <c r="Q1484" s="21"/>
      <c r="R1484" s="1019">
        <v>100</v>
      </c>
      <c r="S1484" s="1019">
        <v>100</v>
      </c>
      <c r="T1484" s="962"/>
      <c r="U1484" s="281"/>
      <c r="V1484" s="288"/>
    </row>
    <row r="1485" spans="2:22" ht="30">
      <c r="B1485" s="653" t="s">
        <v>337</v>
      </c>
      <c r="C1485" s="653"/>
      <c r="D1485" s="658" t="s">
        <v>4292</v>
      </c>
      <c r="E1485" s="656">
        <v>41355</v>
      </c>
      <c r="F1485" s="656"/>
      <c r="G1485" s="654" t="s">
        <v>4291</v>
      </c>
      <c r="H1485" s="654"/>
      <c r="I1485" s="31"/>
      <c r="J1485" s="1233"/>
      <c r="K1485" s="31"/>
      <c r="L1485" s="21">
        <v>5000</v>
      </c>
      <c r="M1485" s="21"/>
      <c r="N1485" s="21">
        <f t="shared" si="240"/>
        <v>5000</v>
      </c>
      <c r="O1485" s="283"/>
      <c r="P1485" s="647" t="s">
        <v>110</v>
      </c>
      <c r="Q1485" s="1136" t="s">
        <v>105</v>
      </c>
      <c r="R1485" s="963">
        <v>5000</v>
      </c>
      <c r="S1485" s="963">
        <v>5000</v>
      </c>
      <c r="T1485" s="961"/>
      <c r="U1485" s="654"/>
      <c r="V1485" s="523" t="s">
        <v>307</v>
      </c>
    </row>
    <row r="1486" spans="2:22" ht="30">
      <c r="B1486" s="653" t="s">
        <v>321</v>
      </c>
      <c r="C1486" s="653"/>
      <c r="D1486" s="658" t="s">
        <v>4293</v>
      </c>
      <c r="E1486" s="656">
        <v>41355</v>
      </c>
      <c r="F1486" s="656"/>
      <c r="G1486" s="654" t="s">
        <v>315</v>
      </c>
      <c r="H1486" s="654"/>
      <c r="I1486" s="31"/>
      <c r="J1486" s="1233"/>
      <c r="K1486" s="31"/>
      <c r="L1486" s="21">
        <v>9000</v>
      </c>
      <c r="M1486" s="21"/>
      <c r="N1486" s="21">
        <f t="shared" si="240"/>
        <v>9000</v>
      </c>
      <c r="O1486" s="283"/>
      <c r="P1486" s="647" t="s">
        <v>110</v>
      </c>
      <c r="Q1486" s="1136" t="s">
        <v>105</v>
      </c>
      <c r="R1486" s="963">
        <v>9000</v>
      </c>
      <c r="S1486" s="963">
        <v>9000</v>
      </c>
      <c r="T1486" s="961"/>
      <c r="U1486" s="654"/>
      <c r="V1486" s="523" t="s">
        <v>307</v>
      </c>
    </row>
    <row r="1487" spans="2:22">
      <c r="B1487" s="1093" t="s">
        <v>6460</v>
      </c>
      <c r="C1487" s="653"/>
      <c r="D1487" s="658"/>
      <c r="E1487" s="656"/>
      <c r="F1487" s="656"/>
      <c r="G1487" s="654"/>
      <c r="H1487" s="654"/>
      <c r="I1487" s="31"/>
      <c r="J1487" s="1233"/>
      <c r="K1487" s="31"/>
      <c r="L1487" s="21"/>
      <c r="M1487" s="21"/>
      <c r="N1487" s="21"/>
      <c r="O1487" s="283"/>
      <c r="P1487" s="647"/>
      <c r="Q1487" s="1136"/>
      <c r="R1487" s="963"/>
      <c r="S1487" s="963"/>
      <c r="T1487" s="654"/>
      <c r="U1487" s="654"/>
      <c r="V1487" s="523"/>
    </row>
    <row r="1488" spans="2:22">
      <c r="B1488" s="1093" t="s">
        <v>6444</v>
      </c>
      <c r="C1488" s="653"/>
      <c r="D1488" s="658"/>
      <c r="E1488" s="656"/>
      <c r="F1488" s="656"/>
      <c r="G1488" s="654"/>
      <c r="H1488" s="654"/>
      <c r="I1488" s="31"/>
      <c r="J1488" s="1233"/>
      <c r="K1488" s="31"/>
      <c r="L1488" s="21"/>
      <c r="M1488" s="21"/>
      <c r="N1488" s="21"/>
      <c r="O1488" s="283"/>
      <c r="P1488" s="647"/>
      <c r="Q1488" s="1136"/>
      <c r="R1488" s="963"/>
      <c r="S1488" s="963"/>
      <c r="T1488" s="654" t="s">
        <v>6479</v>
      </c>
      <c r="U1488" s="654"/>
      <c r="V1488" s="523"/>
    </row>
    <row r="1489" spans="2:22">
      <c r="B1489" s="1093" t="s">
        <v>6442</v>
      </c>
      <c r="C1489" s="653"/>
      <c r="D1489" s="658"/>
      <c r="E1489" s="656"/>
      <c r="F1489" s="656"/>
      <c r="G1489" s="654"/>
      <c r="H1489" s="654"/>
      <c r="I1489" s="31"/>
      <c r="J1489" s="1233"/>
      <c r="K1489" s="31"/>
      <c r="L1489" s="21"/>
      <c r="M1489" s="21"/>
      <c r="N1489" s="21"/>
      <c r="O1489" s="283"/>
      <c r="P1489" s="647"/>
      <c r="Q1489" s="1136"/>
      <c r="R1489" s="963"/>
      <c r="S1489" s="963"/>
      <c r="T1489" s="654"/>
      <c r="U1489" s="654"/>
      <c r="V1489" s="523"/>
    </row>
    <row r="1490" spans="2:22">
      <c r="B1490" s="1093" t="s">
        <v>6436</v>
      </c>
      <c r="C1490" s="653"/>
      <c r="D1490" s="658"/>
      <c r="E1490" s="656"/>
      <c r="F1490" s="656"/>
      <c r="G1490" s="654"/>
      <c r="H1490" s="654"/>
      <c r="I1490" s="31"/>
      <c r="J1490" s="1233"/>
      <c r="K1490" s="31"/>
      <c r="L1490" s="21"/>
      <c r="M1490" s="21"/>
      <c r="N1490" s="21"/>
      <c r="O1490" s="283"/>
      <c r="P1490" s="647"/>
      <c r="Q1490" s="1136"/>
      <c r="R1490" s="963"/>
      <c r="S1490" s="963"/>
      <c r="T1490" s="654" t="s">
        <v>5123</v>
      </c>
      <c r="U1490" s="654"/>
      <c r="V1490" s="523"/>
    </row>
    <row r="1491" spans="2:22">
      <c r="B1491" s="1093" t="s">
        <v>6476</v>
      </c>
      <c r="C1491" s="653"/>
      <c r="D1491" s="658"/>
      <c r="E1491" s="656"/>
      <c r="F1491" s="656"/>
      <c r="G1491" s="654"/>
      <c r="H1491" s="654"/>
      <c r="I1491" s="31"/>
      <c r="J1491" s="1233"/>
      <c r="K1491" s="31"/>
      <c r="L1491" s="21"/>
      <c r="M1491" s="21"/>
      <c r="N1491" s="21"/>
      <c r="O1491" s="283"/>
      <c r="P1491" s="647"/>
      <c r="Q1491" s="1136"/>
      <c r="R1491" s="963"/>
      <c r="S1491" s="963"/>
      <c r="T1491" s="654"/>
      <c r="U1491" s="654"/>
      <c r="V1491" s="523"/>
    </row>
    <row r="1492" spans="2:22">
      <c r="B1492" s="1093" t="s">
        <v>6477</v>
      </c>
      <c r="C1492" s="653"/>
      <c r="D1492" s="658"/>
      <c r="E1492" s="656"/>
      <c r="F1492" s="656"/>
      <c r="G1492" s="654"/>
      <c r="H1492" s="654"/>
      <c r="I1492" s="31"/>
      <c r="J1492" s="1233"/>
      <c r="K1492" s="31"/>
      <c r="L1492" s="21"/>
      <c r="M1492" s="21"/>
      <c r="N1492" s="21"/>
      <c r="O1492" s="283"/>
      <c r="P1492" s="647"/>
      <c r="Q1492" s="1136"/>
      <c r="R1492" s="963"/>
      <c r="S1492" s="963"/>
      <c r="T1492" s="654"/>
      <c r="U1492" s="654"/>
      <c r="V1492" s="523"/>
    </row>
    <row r="1493" spans="2:22" ht="22.5">
      <c r="B1493" s="1093" t="s">
        <v>6439</v>
      </c>
      <c r="C1493" s="653"/>
      <c r="D1493" s="658"/>
      <c r="E1493" s="656"/>
      <c r="F1493" s="656"/>
      <c r="G1493" s="654"/>
      <c r="H1493" s="654"/>
      <c r="I1493" s="31"/>
      <c r="J1493" s="1233"/>
      <c r="K1493" s="31"/>
      <c r="L1493" s="21"/>
      <c r="M1493" s="21"/>
      <c r="N1493" s="21"/>
      <c r="O1493" s="283"/>
      <c r="P1493" s="647"/>
      <c r="Q1493" s="1136"/>
      <c r="R1493" s="963"/>
      <c r="S1493" s="963"/>
      <c r="T1493" s="1094" t="s">
        <v>6480</v>
      </c>
      <c r="U1493" s="654"/>
      <c r="V1493" s="523"/>
    </row>
    <row r="1494" spans="2:22">
      <c r="B1494" s="1093" t="s">
        <v>6434</v>
      </c>
      <c r="C1494" s="653"/>
      <c r="D1494" s="658"/>
      <c r="E1494" s="656"/>
      <c r="F1494" s="656"/>
      <c r="G1494" s="654"/>
      <c r="H1494" s="654"/>
      <c r="I1494" s="31"/>
      <c r="J1494" s="1233"/>
      <c r="K1494" s="31"/>
      <c r="L1494" s="21"/>
      <c r="M1494" s="21"/>
      <c r="N1494" s="21"/>
      <c r="O1494" s="283"/>
      <c r="P1494" s="647"/>
      <c r="Q1494" s="1136"/>
      <c r="R1494" s="963"/>
      <c r="S1494" s="963"/>
      <c r="T1494" s="654" t="s">
        <v>5123</v>
      </c>
      <c r="U1494" s="654"/>
      <c r="V1494" s="523"/>
    </row>
    <row r="1495" spans="2:22">
      <c r="B1495" s="1093" t="s">
        <v>6478</v>
      </c>
      <c r="C1495" s="653"/>
      <c r="D1495" s="658"/>
      <c r="E1495" s="656"/>
      <c r="F1495" s="656"/>
      <c r="G1495" s="654"/>
      <c r="H1495" s="654"/>
      <c r="I1495" s="31"/>
      <c r="J1495" s="1233"/>
      <c r="K1495" s="31"/>
      <c r="L1495" s="21"/>
      <c r="M1495" s="21"/>
      <c r="N1495" s="21"/>
      <c r="O1495" s="283"/>
      <c r="P1495" s="647"/>
      <c r="Q1495" s="1136"/>
      <c r="R1495" s="963"/>
      <c r="S1495" s="963"/>
      <c r="T1495" s="30"/>
      <c r="U1495" s="654"/>
      <c r="V1495" s="523"/>
    </row>
    <row r="1496" spans="2:22">
      <c r="B1496" s="653"/>
      <c r="C1496" s="653"/>
      <c r="D1496" s="658"/>
      <c r="E1496" s="656"/>
      <c r="F1496" s="656"/>
      <c r="G1496" s="654"/>
      <c r="H1496" s="654"/>
      <c r="I1496" s="31"/>
      <c r="J1496" s="1233"/>
      <c r="K1496" s="31"/>
      <c r="L1496" s="21"/>
      <c r="M1496" s="21"/>
      <c r="N1496" s="21"/>
      <c r="O1496" s="283"/>
      <c r="P1496" s="647"/>
      <c r="Q1496" s="1136"/>
      <c r="R1496" s="963"/>
      <c r="S1496" s="963"/>
      <c r="T1496" s="961"/>
      <c r="U1496" s="654"/>
      <c r="V1496" s="523"/>
    </row>
    <row r="1497" spans="2:22" ht="30">
      <c r="B1497" s="653" t="s">
        <v>319</v>
      </c>
      <c r="C1497" s="653"/>
      <c r="D1497" s="658" t="s">
        <v>4294</v>
      </c>
      <c r="E1497" s="656">
        <v>41355</v>
      </c>
      <c r="F1497" s="656"/>
      <c r="G1497" s="654" t="s">
        <v>3940</v>
      </c>
      <c r="H1497" s="654"/>
      <c r="I1497" s="31"/>
      <c r="J1497" s="1233"/>
      <c r="K1497" s="31"/>
      <c r="L1497" s="21">
        <v>2400</v>
      </c>
      <c r="M1497" s="21"/>
      <c r="N1497" s="21">
        <f t="shared" si="240"/>
        <v>2400</v>
      </c>
      <c r="O1497" s="283"/>
      <c r="P1497" s="647" t="s">
        <v>110</v>
      </c>
      <c r="Q1497" s="1136" t="s">
        <v>105</v>
      </c>
      <c r="R1497" s="963">
        <v>2400</v>
      </c>
      <c r="S1497" s="963">
        <v>2400</v>
      </c>
      <c r="T1497" s="961"/>
      <c r="U1497" s="654"/>
      <c r="V1497" s="523" t="s">
        <v>307</v>
      </c>
    </row>
    <row r="1498" spans="2:22" ht="30">
      <c r="B1498" s="653" t="s">
        <v>331</v>
      </c>
      <c r="C1498" s="653"/>
      <c r="D1498" s="658" t="s">
        <v>4295</v>
      </c>
      <c r="E1498" s="656">
        <v>41355</v>
      </c>
      <c r="F1498" s="656"/>
      <c r="G1498" s="654" t="s">
        <v>4278</v>
      </c>
      <c r="H1498" s="654"/>
      <c r="I1498" s="31"/>
      <c r="J1498" s="1233"/>
      <c r="K1498" s="31"/>
      <c r="L1498" s="21">
        <v>3000</v>
      </c>
      <c r="M1498" s="21"/>
      <c r="N1498" s="21">
        <f t="shared" si="240"/>
        <v>3000</v>
      </c>
      <c r="O1498" s="283"/>
      <c r="P1498" s="647" t="s">
        <v>110</v>
      </c>
      <c r="Q1498" s="1136" t="s">
        <v>105</v>
      </c>
      <c r="R1498" s="963">
        <v>3000</v>
      </c>
      <c r="S1498" s="963">
        <v>3000</v>
      </c>
      <c r="T1498" s="961"/>
      <c r="U1498" s="654"/>
      <c r="V1498" s="523" t="s">
        <v>307</v>
      </c>
    </row>
    <row r="1499" spans="2:22" ht="30">
      <c r="B1499" s="653" t="s">
        <v>319</v>
      </c>
      <c r="C1499" s="653"/>
      <c r="D1499" s="658" t="s">
        <v>4296</v>
      </c>
      <c r="E1499" s="656">
        <v>41355</v>
      </c>
      <c r="F1499" s="656"/>
      <c r="G1499" s="654" t="s">
        <v>4169</v>
      </c>
      <c r="H1499" s="654"/>
      <c r="I1499" s="31"/>
      <c r="J1499" s="1233"/>
      <c r="K1499" s="31"/>
      <c r="L1499" s="21">
        <v>390</v>
      </c>
      <c r="M1499" s="21"/>
      <c r="N1499" s="21">
        <f t="shared" si="240"/>
        <v>390</v>
      </c>
      <c r="O1499" s="283"/>
      <c r="P1499" s="647" t="s">
        <v>110</v>
      </c>
      <c r="Q1499" s="1136" t="s">
        <v>105</v>
      </c>
      <c r="R1499" s="963">
        <v>390</v>
      </c>
      <c r="S1499" s="963">
        <v>390</v>
      </c>
      <c r="T1499" s="961"/>
      <c r="U1499" s="654"/>
      <c r="V1499" s="523" t="s">
        <v>307</v>
      </c>
    </row>
    <row r="1500" spans="2:22" ht="30">
      <c r="B1500" s="653" t="s">
        <v>337</v>
      </c>
      <c r="C1500" s="653"/>
      <c r="D1500" s="658" t="s">
        <v>4298</v>
      </c>
      <c r="E1500" s="656">
        <v>41355</v>
      </c>
      <c r="F1500" s="656"/>
      <c r="G1500" s="654" t="s">
        <v>4297</v>
      </c>
      <c r="H1500" s="654"/>
      <c r="I1500" s="31"/>
      <c r="J1500" s="1233"/>
      <c r="K1500" s="31"/>
      <c r="L1500" s="21">
        <v>55300</v>
      </c>
      <c r="M1500" s="21"/>
      <c r="N1500" s="21">
        <f t="shared" si="240"/>
        <v>55300</v>
      </c>
      <c r="O1500" s="283"/>
      <c r="P1500" s="647" t="s">
        <v>110</v>
      </c>
      <c r="Q1500" s="1136" t="s">
        <v>105</v>
      </c>
      <c r="R1500" s="963">
        <v>55300</v>
      </c>
      <c r="S1500" s="963">
        <v>55300</v>
      </c>
      <c r="T1500" s="961"/>
      <c r="U1500" s="654"/>
      <c r="V1500" s="523" t="s">
        <v>307</v>
      </c>
    </row>
    <row r="1501" spans="2:22" ht="30">
      <c r="B1501" s="653" t="s">
        <v>314</v>
      </c>
      <c r="C1501" s="653"/>
      <c r="D1501" s="658" t="s">
        <v>4300</v>
      </c>
      <c r="E1501" s="656">
        <v>41355</v>
      </c>
      <c r="F1501" s="656"/>
      <c r="G1501" s="654" t="s">
        <v>4299</v>
      </c>
      <c r="H1501" s="654"/>
      <c r="I1501" s="31"/>
      <c r="J1501" s="1233"/>
      <c r="K1501" s="31"/>
      <c r="L1501" s="21">
        <v>5000</v>
      </c>
      <c r="M1501" s="21"/>
      <c r="N1501" s="21">
        <f t="shared" si="240"/>
        <v>5000</v>
      </c>
      <c r="O1501" s="283"/>
      <c r="P1501" s="647" t="s">
        <v>110</v>
      </c>
      <c r="Q1501" s="1136" t="s">
        <v>105</v>
      </c>
      <c r="R1501" s="963">
        <v>5000</v>
      </c>
      <c r="S1501" s="963">
        <v>5000</v>
      </c>
      <c r="T1501" s="961"/>
      <c r="U1501" s="654"/>
      <c r="V1501" s="523" t="s">
        <v>307</v>
      </c>
    </row>
    <row r="1502" spans="2:22" ht="30">
      <c r="B1502" s="653" t="s">
        <v>319</v>
      </c>
      <c r="C1502" s="653"/>
      <c r="D1502" s="658" t="s">
        <v>4302</v>
      </c>
      <c r="E1502" s="656">
        <v>41355</v>
      </c>
      <c r="F1502" s="656"/>
      <c r="G1502" s="654" t="s">
        <v>4301</v>
      </c>
      <c r="H1502" s="654"/>
      <c r="I1502" s="31"/>
      <c r="J1502" s="1233"/>
      <c r="K1502" s="31"/>
      <c r="L1502" s="21">
        <v>3000</v>
      </c>
      <c r="M1502" s="21"/>
      <c r="N1502" s="21">
        <f t="shared" si="240"/>
        <v>3000</v>
      </c>
      <c r="O1502" s="283"/>
      <c r="P1502" s="647" t="s">
        <v>110</v>
      </c>
      <c r="Q1502" s="1136" t="s">
        <v>105</v>
      </c>
      <c r="R1502" s="963">
        <v>3000</v>
      </c>
      <c r="S1502" s="963">
        <v>3000</v>
      </c>
      <c r="T1502" s="961"/>
      <c r="U1502" s="654"/>
      <c r="V1502" s="523" t="s">
        <v>307</v>
      </c>
    </row>
    <row r="1503" spans="2:22" ht="30">
      <c r="B1503" s="653" t="s">
        <v>4303</v>
      </c>
      <c r="C1503" s="653"/>
      <c r="D1503" s="658" t="s">
        <v>4304</v>
      </c>
      <c r="E1503" s="656">
        <v>41355</v>
      </c>
      <c r="F1503" s="656"/>
      <c r="G1503" s="654" t="s">
        <v>315</v>
      </c>
      <c r="H1503" s="654"/>
      <c r="I1503" s="31"/>
      <c r="J1503" s="1233"/>
      <c r="K1503" s="31"/>
      <c r="L1503" s="21">
        <v>8700</v>
      </c>
      <c r="M1503" s="21"/>
      <c r="N1503" s="21">
        <f t="shared" si="240"/>
        <v>8700</v>
      </c>
      <c r="O1503" s="283"/>
      <c r="P1503" s="647" t="s">
        <v>110</v>
      </c>
      <c r="Q1503" s="1136" t="s">
        <v>105</v>
      </c>
      <c r="R1503" s="963">
        <v>8700</v>
      </c>
      <c r="S1503" s="963">
        <v>8700</v>
      </c>
      <c r="T1503" s="961"/>
      <c r="U1503" s="654"/>
      <c r="V1503" s="523" t="s">
        <v>307</v>
      </c>
    </row>
    <row r="1504" spans="2:22">
      <c r="B1504" s="1234" t="s">
        <v>6481</v>
      </c>
      <c r="C1504" s="653"/>
      <c r="D1504" s="658"/>
      <c r="E1504" s="656"/>
      <c r="F1504" s="656"/>
      <c r="G1504" s="654"/>
      <c r="H1504" s="654"/>
      <c r="I1504" s="31"/>
      <c r="J1504" s="1233"/>
      <c r="K1504" s="31"/>
      <c r="L1504" s="21"/>
      <c r="M1504" s="21"/>
      <c r="N1504" s="21"/>
      <c r="O1504" s="283"/>
      <c r="P1504" s="647"/>
      <c r="Q1504" s="1136"/>
      <c r="R1504" s="963"/>
      <c r="S1504" s="963"/>
      <c r="T1504" s="961"/>
      <c r="U1504" s="654"/>
      <c r="V1504" s="523"/>
    </row>
    <row r="1505" spans="2:22">
      <c r="B1505" s="1234" t="s">
        <v>6482</v>
      </c>
      <c r="C1505" s="653"/>
      <c r="D1505" s="658"/>
      <c r="E1505" s="656"/>
      <c r="F1505" s="656"/>
      <c r="G1505" s="654"/>
      <c r="H1505" s="654"/>
      <c r="I1505" s="31"/>
      <c r="J1505" s="1233"/>
      <c r="K1505" s="31"/>
      <c r="L1505" s="21"/>
      <c r="M1505" s="21"/>
      <c r="N1505" s="21"/>
      <c r="O1505" s="283"/>
      <c r="P1505" s="647"/>
      <c r="Q1505" s="1136"/>
      <c r="R1505" s="963"/>
      <c r="S1505" s="963"/>
      <c r="T1505" s="961"/>
      <c r="U1505" s="654"/>
      <c r="V1505" s="523"/>
    </row>
    <row r="1506" spans="2:22">
      <c r="B1506" s="1234" t="s">
        <v>6483</v>
      </c>
      <c r="C1506" s="653"/>
      <c r="D1506" s="658"/>
      <c r="E1506" s="656"/>
      <c r="F1506" s="656"/>
      <c r="G1506" s="654"/>
      <c r="H1506" s="654"/>
      <c r="I1506" s="31"/>
      <c r="J1506" s="1233"/>
      <c r="K1506" s="31"/>
      <c r="L1506" s="21"/>
      <c r="M1506" s="21"/>
      <c r="N1506" s="21"/>
      <c r="O1506" s="283"/>
      <c r="P1506" s="647"/>
      <c r="Q1506" s="1136"/>
      <c r="R1506" s="963"/>
      <c r="S1506" s="963"/>
      <c r="T1506" s="961"/>
      <c r="U1506" s="654"/>
      <c r="V1506" s="523"/>
    </row>
    <row r="1507" spans="2:22">
      <c r="B1507" s="1234" t="s">
        <v>6484</v>
      </c>
      <c r="C1507" s="653"/>
      <c r="D1507" s="658"/>
      <c r="E1507" s="656"/>
      <c r="F1507" s="656"/>
      <c r="G1507" s="654"/>
      <c r="H1507" s="654"/>
      <c r="I1507" s="31"/>
      <c r="J1507" s="1233"/>
      <c r="K1507" s="31"/>
      <c r="L1507" s="21"/>
      <c r="M1507" s="21"/>
      <c r="N1507" s="21"/>
      <c r="O1507" s="283"/>
      <c r="P1507" s="647"/>
      <c r="Q1507" s="1136"/>
      <c r="R1507" s="963"/>
      <c r="S1507" s="963"/>
      <c r="T1507" s="961"/>
      <c r="U1507" s="654"/>
      <c r="V1507" s="523"/>
    </row>
    <row r="1508" spans="2:22">
      <c r="B1508" s="1234" t="s">
        <v>6485</v>
      </c>
      <c r="C1508" s="653"/>
      <c r="D1508" s="658"/>
      <c r="E1508" s="656"/>
      <c r="F1508" s="656"/>
      <c r="G1508" s="654"/>
      <c r="H1508" s="654"/>
      <c r="I1508" s="31"/>
      <c r="J1508" s="1233"/>
      <c r="K1508" s="31"/>
      <c r="L1508" s="21"/>
      <c r="M1508" s="21"/>
      <c r="N1508" s="21"/>
      <c r="O1508" s="283"/>
      <c r="P1508" s="647"/>
      <c r="Q1508" s="1136"/>
      <c r="R1508" s="963"/>
      <c r="S1508" s="963"/>
      <c r="T1508" s="961"/>
      <c r="U1508" s="654"/>
      <c r="V1508" s="523"/>
    </row>
    <row r="1509" spans="2:22">
      <c r="B1509" s="1234" t="s">
        <v>6486</v>
      </c>
      <c r="C1509" s="653"/>
      <c r="D1509" s="658"/>
      <c r="E1509" s="656"/>
      <c r="F1509" s="656"/>
      <c r="G1509" s="654"/>
      <c r="H1509" s="654"/>
      <c r="I1509" s="31"/>
      <c r="J1509" s="1233"/>
      <c r="K1509" s="31"/>
      <c r="L1509" s="21"/>
      <c r="M1509" s="21"/>
      <c r="N1509" s="21"/>
      <c r="O1509" s="283"/>
      <c r="P1509" s="647"/>
      <c r="Q1509" s="1136"/>
      <c r="R1509" s="963"/>
      <c r="S1509" s="963"/>
      <c r="T1509" s="961"/>
      <c r="U1509" s="654"/>
      <c r="V1509" s="523"/>
    </row>
    <row r="1510" spans="2:22">
      <c r="B1510" s="1234" t="s">
        <v>6487</v>
      </c>
      <c r="C1510" s="653"/>
      <c r="D1510" s="658"/>
      <c r="E1510" s="656"/>
      <c r="F1510" s="656"/>
      <c r="G1510" s="654"/>
      <c r="H1510" s="654"/>
      <c r="I1510" s="31"/>
      <c r="J1510" s="1233"/>
      <c r="K1510" s="31"/>
      <c r="L1510" s="21"/>
      <c r="M1510" s="21"/>
      <c r="N1510" s="21"/>
      <c r="O1510" s="283"/>
      <c r="P1510" s="647"/>
      <c r="Q1510" s="1136"/>
      <c r="R1510" s="963"/>
      <c r="S1510" s="963"/>
      <c r="T1510" s="961"/>
      <c r="U1510" s="654"/>
      <c r="V1510" s="523"/>
    </row>
    <row r="1511" spans="2:22">
      <c r="B1511" s="1234" t="s">
        <v>6488</v>
      </c>
      <c r="C1511" s="653"/>
      <c r="D1511" s="658"/>
      <c r="E1511" s="656"/>
      <c r="F1511" s="656"/>
      <c r="G1511" s="654"/>
      <c r="H1511" s="654"/>
      <c r="I1511" s="31"/>
      <c r="J1511" s="1233"/>
      <c r="K1511" s="31"/>
      <c r="L1511" s="21"/>
      <c r="M1511" s="21"/>
      <c r="N1511" s="21"/>
      <c r="O1511" s="283"/>
      <c r="P1511" s="647"/>
      <c r="Q1511" s="1136"/>
      <c r="R1511" s="963"/>
      <c r="S1511" s="963"/>
      <c r="T1511" s="961"/>
      <c r="U1511" s="654"/>
      <c r="V1511" s="523"/>
    </row>
    <row r="1512" spans="2:22">
      <c r="B1512" s="1234" t="s">
        <v>6489</v>
      </c>
      <c r="C1512" s="653"/>
      <c r="D1512" s="658"/>
      <c r="E1512" s="656"/>
      <c r="F1512" s="656"/>
      <c r="G1512" s="654"/>
      <c r="H1512" s="654"/>
      <c r="I1512" s="31"/>
      <c r="J1512" s="1233"/>
      <c r="K1512" s="31"/>
      <c r="L1512" s="21"/>
      <c r="M1512" s="21"/>
      <c r="N1512" s="21"/>
      <c r="O1512" s="283"/>
      <c r="P1512" s="647"/>
      <c r="Q1512" s="1136"/>
      <c r="R1512" s="963"/>
      <c r="S1512" s="963"/>
      <c r="T1512" s="961"/>
      <c r="U1512" s="654"/>
      <c r="V1512" s="523"/>
    </row>
    <row r="1513" spans="2:22">
      <c r="B1513" s="1234" t="s">
        <v>6490</v>
      </c>
      <c r="C1513" s="653"/>
      <c r="D1513" s="658"/>
      <c r="E1513" s="656"/>
      <c r="F1513" s="656"/>
      <c r="G1513" s="654"/>
      <c r="H1513" s="654"/>
      <c r="I1513" s="31"/>
      <c r="J1513" s="1233"/>
      <c r="K1513" s="31"/>
      <c r="L1513" s="21"/>
      <c r="M1513" s="21"/>
      <c r="N1513" s="21"/>
      <c r="O1513" s="283"/>
      <c r="P1513" s="647"/>
      <c r="Q1513" s="1136"/>
      <c r="R1513" s="963"/>
      <c r="S1513" s="963"/>
      <c r="T1513" s="961"/>
      <c r="U1513" s="654"/>
      <c r="V1513" s="523"/>
    </row>
    <row r="1514" spans="2:22">
      <c r="B1514" s="1234" t="s">
        <v>6491</v>
      </c>
      <c r="C1514" s="653"/>
      <c r="D1514" s="658"/>
      <c r="E1514" s="656"/>
      <c r="F1514" s="656"/>
      <c r="G1514" s="654"/>
      <c r="H1514" s="654"/>
      <c r="I1514" s="31"/>
      <c r="J1514" s="1233"/>
      <c r="K1514" s="31"/>
      <c r="L1514" s="21"/>
      <c r="M1514" s="21"/>
      <c r="N1514" s="21"/>
      <c r="O1514" s="283"/>
      <c r="P1514" s="647"/>
      <c r="Q1514" s="1136"/>
      <c r="R1514" s="963"/>
      <c r="S1514" s="963"/>
      <c r="T1514" s="961"/>
      <c r="U1514" s="654"/>
      <c r="V1514" s="523"/>
    </row>
    <row r="1515" spans="2:22">
      <c r="B1515" s="1234" t="s">
        <v>6492</v>
      </c>
      <c r="C1515" s="653"/>
      <c r="D1515" s="658"/>
      <c r="E1515" s="656"/>
      <c r="F1515" s="656"/>
      <c r="G1515" s="654"/>
      <c r="H1515" s="654"/>
      <c r="I1515" s="31"/>
      <c r="J1515" s="1233"/>
      <c r="K1515" s="31"/>
      <c r="L1515" s="21"/>
      <c r="M1515" s="21"/>
      <c r="N1515" s="21"/>
      <c r="O1515" s="283"/>
      <c r="P1515" s="647"/>
      <c r="Q1515" s="1136"/>
      <c r="R1515" s="963"/>
      <c r="S1515" s="963"/>
      <c r="T1515" s="961"/>
      <c r="U1515" s="654"/>
      <c r="V1515" s="523"/>
    </row>
    <row r="1516" spans="2:22">
      <c r="B1516" s="1234" t="s">
        <v>6493</v>
      </c>
      <c r="C1516" s="653"/>
      <c r="D1516" s="658"/>
      <c r="E1516" s="656"/>
      <c r="F1516" s="656"/>
      <c r="G1516" s="654"/>
      <c r="H1516" s="654"/>
      <c r="I1516" s="31"/>
      <c r="J1516" s="1233"/>
      <c r="K1516" s="31"/>
      <c r="L1516" s="21"/>
      <c r="M1516" s="21"/>
      <c r="N1516" s="21"/>
      <c r="O1516" s="283"/>
      <c r="P1516" s="647"/>
      <c r="Q1516" s="1136"/>
      <c r="R1516" s="963"/>
      <c r="S1516" s="963"/>
      <c r="T1516" s="961"/>
      <c r="U1516" s="654"/>
      <c r="V1516" s="523"/>
    </row>
    <row r="1517" spans="2:22">
      <c r="B1517" s="1234" t="s">
        <v>6494</v>
      </c>
      <c r="C1517" s="653"/>
      <c r="D1517" s="658"/>
      <c r="E1517" s="656"/>
      <c r="F1517" s="656"/>
      <c r="G1517" s="654"/>
      <c r="H1517" s="654"/>
      <c r="I1517" s="31"/>
      <c r="J1517" s="1233"/>
      <c r="K1517" s="31"/>
      <c r="L1517" s="21"/>
      <c r="M1517" s="21"/>
      <c r="N1517" s="21"/>
      <c r="O1517" s="283"/>
      <c r="P1517" s="647"/>
      <c r="Q1517" s="1136"/>
      <c r="R1517" s="963"/>
      <c r="S1517" s="963"/>
      <c r="T1517" s="961"/>
      <c r="U1517" s="654"/>
      <c r="V1517" s="523"/>
    </row>
    <row r="1518" spans="2:22">
      <c r="B1518" s="1234" t="s">
        <v>6495</v>
      </c>
      <c r="C1518" s="653"/>
      <c r="D1518" s="658"/>
      <c r="E1518" s="656"/>
      <c r="F1518" s="656"/>
      <c r="G1518" s="654"/>
      <c r="H1518" s="654"/>
      <c r="I1518" s="31"/>
      <c r="J1518" s="1233"/>
      <c r="K1518" s="31"/>
      <c r="L1518" s="21"/>
      <c r="M1518" s="21"/>
      <c r="N1518" s="21"/>
      <c r="O1518" s="283"/>
      <c r="P1518" s="647"/>
      <c r="Q1518" s="1136"/>
      <c r="R1518" s="963"/>
      <c r="S1518" s="963"/>
      <c r="T1518" s="961"/>
      <c r="U1518" s="654"/>
      <c r="V1518" s="523"/>
    </row>
    <row r="1519" spans="2:22">
      <c r="B1519" s="1234" t="s">
        <v>6496</v>
      </c>
      <c r="C1519" s="653"/>
      <c r="D1519" s="658"/>
      <c r="E1519" s="656"/>
      <c r="F1519" s="656"/>
      <c r="G1519" s="654"/>
      <c r="H1519" s="654"/>
      <c r="I1519" s="31"/>
      <c r="J1519" s="1233"/>
      <c r="K1519" s="31"/>
      <c r="L1519" s="21"/>
      <c r="M1519" s="21"/>
      <c r="N1519" s="21"/>
      <c r="O1519" s="283"/>
      <c r="P1519" s="647"/>
      <c r="Q1519" s="1136"/>
      <c r="R1519" s="963"/>
      <c r="S1519" s="963"/>
      <c r="T1519" s="961"/>
      <c r="U1519" s="654"/>
      <c r="V1519" s="523"/>
    </row>
    <row r="1520" spans="2:22">
      <c r="B1520" s="1234" t="s">
        <v>6497</v>
      </c>
      <c r="C1520" s="653"/>
      <c r="D1520" s="658"/>
      <c r="E1520" s="656"/>
      <c r="F1520" s="656"/>
      <c r="G1520" s="654"/>
      <c r="H1520" s="654"/>
      <c r="I1520" s="31"/>
      <c r="J1520" s="1233"/>
      <c r="K1520" s="31"/>
      <c r="L1520" s="21"/>
      <c r="M1520" s="21"/>
      <c r="N1520" s="21"/>
      <c r="O1520" s="283"/>
      <c r="P1520" s="647"/>
      <c r="Q1520" s="1136"/>
      <c r="R1520" s="963"/>
      <c r="S1520" s="963"/>
      <c r="T1520" s="961"/>
      <c r="U1520" s="654"/>
      <c r="V1520" s="523"/>
    </row>
    <row r="1521" spans="2:22">
      <c r="B1521" s="1234" t="s">
        <v>6498</v>
      </c>
      <c r="C1521" s="653"/>
      <c r="D1521" s="658"/>
      <c r="E1521" s="656"/>
      <c r="F1521" s="656"/>
      <c r="G1521" s="654"/>
      <c r="H1521" s="654"/>
      <c r="I1521" s="31"/>
      <c r="J1521" s="1233"/>
      <c r="K1521" s="31"/>
      <c r="L1521" s="21"/>
      <c r="M1521" s="21"/>
      <c r="N1521" s="21"/>
      <c r="O1521" s="283"/>
      <c r="P1521" s="647"/>
      <c r="Q1521" s="1136"/>
      <c r="R1521" s="963"/>
      <c r="S1521" s="963"/>
      <c r="T1521" s="961"/>
      <c r="U1521" s="654"/>
      <c r="V1521" s="523"/>
    </row>
    <row r="1522" spans="2:22">
      <c r="B1522" s="1234" t="s">
        <v>6499</v>
      </c>
      <c r="C1522" s="653"/>
      <c r="D1522" s="658"/>
      <c r="E1522" s="656"/>
      <c r="F1522" s="656"/>
      <c r="G1522" s="654"/>
      <c r="H1522" s="654"/>
      <c r="I1522" s="31"/>
      <c r="J1522" s="1233"/>
      <c r="K1522" s="31"/>
      <c r="L1522" s="21"/>
      <c r="M1522" s="21"/>
      <c r="N1522" s="21"/>
      <c r="O1522" s="283"/>
      <c r="P1522" s="647"/>
      <c r="Q1522" s="1136"/>
      <c r="R1522" s="963"/>
      <c r="S1522" s="963"/>
      <c r="T1522" s="961"/>
      <c r="U1522" s="654"/>
      <c r="V1522" s="523"/>
    </row>
    <row r="1523" spans="2:22">
      <c r="B1523" s="1234" t="s">
        <v>6500</v>
      </c>
      <c r="C1523" s="653"/>
      <c r="D1523" s="658"/>
      <c r="E1523" s="656"/>
      <c r="F1523" s="656"/>
      <c r="G1523" s="654"/>
      <c r="H1523" s="654"/>
      <c r="I1523" s="31"/>
      <c r="J1523" s="1233"/>
      <c r="K1523" s="31"/>
      <c r="L1523" s="21"/>
      <c r="M1523" s="21"/>
      <c r="N1523" s="21"/>
      <c r="O1523" s="283"/>
      <c r="P1523" s="647"/>
      <c r="Q1523" s="1136"/>
      <c r="R1523" s="963"/>
      <c r="S1523" s="963"/>
      <c r="T1523" s="961"/>
      <c r="U1523" s="654"/>
      <c r="V1523" s="523"/>
    </row>
    <row r="1524" spans="2:22">
      <c r="B1524" s="1234" t="s">
        <v>6501</v>
      </c>
      <c r="C1524" s="653"/>
      <c r="D1524" s="658"/>
      <c r="E1524" s="656"/>
      <c r="F1524" s="656"/>
      <c r="G1524" s="654"/>
      <c r="H1524" s="654"/>
      <c r="I1524" s="31"/>
      <c r="J1524" s="1233"/>
      <c r="K1524" s="31"/>
      <c r="L1524" s="21"/>
      <c r="M1524" s="21"/>
      <c r="N1524" s="21"/>
      <c r="O1524" s="283"/>
      <c r="P1524" s="647"/>
      <c r="Q1524" s="1136"/>
      <c r="R1524" s="963"/>
      <c r="S1524" s="963"/>
      <c r="T1524" s="961"/>
      <c r="U1524" s="654"/>
      <c r="V1524" s="523"/>
    </row>
    <row r="1525" spans="2:22">
      <c r="B1525" s="1234" t="s">
        <v>6502</v>
      </c>
      <c r="C1525" s="653"/>
      <c r="D1525" s="658"/>
      <c r="E1525" s="656"/>
      <c r="F1525" s="656"/>
      <c r="G1525" s="654"/>
      <c r="H1525" s="654"/>
      <c r="I1525" s="31"/>
      <c r="J1525" s="1233"/>
      <c r="K1525" s="31"/>
      <c r="L1525" s="21"/>
      <c r="M1525" s="21"/>
      <c r="N1525" s="21"/>
      <c r="O1525" s="283"/>
      <c r="P1525" s="647"/>
      <c r="Q1525" s="1136"/>
      <c r="R1525" s="963"/>
      <c r="S1525" s="963"/>
      <c r="T1525" s="961"/>
      <c r="U1525" s="654"/>
      <c r="V1525" s="523"/>
    </row>
    <row r="1526" spans="2:22">
      <c r="B1526" s="1234" t="s">
        <v>6503</v>
      </c>
      <c r="C1526" s="653"/>
      <c r="D1526" s="658"/>
      <c r="E1526" s="656"/>
      <c r="F1526" s="656"/>
      <c r="G1526" s="654"/>
      <c r="H1526" s="654"/>
      <c r="I1526" s="31"/>
      <c r="J1526" s="1233"/>
      <c r="K1526" s="31"/>
      <c r="L1526" s="21"/>
      <c r="M1526" s="21"/>
      <c r="N1526" s="21"/>
      <c r="O1526" s="283"/>
      <c r="P1526" s="647"/>
      <c r="Q1526" s="1136"/>
      <c r="R1526" s="963"/>
      <c r="S1526" s="963"/>
      <c r="T1526" s="961"/>
      <c r="U1526" s="654"/>
      <c r="V1526" s="523"/>
    </row>
    <row r="1527" spans="2:22">
      <c r="B1527" s="1234" t="s">
        <v>6504</v>
      </c>
      <c r="C1527" s="653"/>
      <c r="D1527" s="658"/>
      <c r="E1527" s="656"/>
      <c r="F1527" s="656"/>
      <c r="G1527" s="654"/>
      <c r="H1527" s="654"/>
      <c r="I1527" s="31"/>
      <c r="J1527" s="1233"/>
      <c r="K1527" s="31"/>
      <c r="L1527" s="21"/>
      <c r="M1527" s="21"/>
      <c r="N1527" s="21"/>
      <c r="O1527" s="283"/>
      <c r="P1527" s="647"/>
      <c r="Q1527" s="1136"/>
      <c r="R1527" s="963"/>
      <c r="S1527" s="963"/>
      <c r="T1527" s="961"/>
      <c r="U1527" s="654"/>
      <c r="V1527" s="523"/>
    </row>
    <row r="1528" spans="2:22">
      <c r="B1528" s="1234" t="s">
        <v>6505</v>
      </c>
      <c r="C1528" s="653"/>
      <c r="D1528" s="658"/>
      <c r="E1528" s="656"/>
      <c r="F1528" s="656"/>
      <c r="G1528" s="654"/>
      <c r="H1528" s="654"/>
      <c r="I1528" s="31"/>
      <c r="J1528" s="1233"/>
      <c r="K1528" s="31"/>
      <c r="L1528" s="21"/>
      <c r="M1528" s="21"/>
      <c r="N1528" s="21"/>
      <c r="O1528" s="283"/>
      <c r="P1528" s="647"/>
      <c r="Q1528" s="1136"/>
      <c r="R1528" s="963"/>
      <c r="S1528" s="963"/>
      <c r="T1528" s="961"/>
      <c r="U1528" s="654"/>
      <c r="V1528" s="523"/>
    </row>
    <row r="1529" spans="2:22">
      <c r="B1529" s="1234" t="s">
        <v>6506</v>
      </c>
      <c r="C1529" s="653"/>
      <c r="D1529" s="658"/>
      <c r="E1529" s="656"/>
      <c r="F1529" s="656"/>
      <c r="G1529" s="654"/>
      <c r="H1529" s="654"/>
      <c r="I1529" s="31"/>
      <c r="J1529" s="1233"/>
      <c r="K1529" s="31"/>
      <c r="L1529" s="21"/>
      <c r="M1529" s="21"/>
      <c r="N1529" s="21"/>
      <c r="O1529" s="283"/>
      <c r="P1529" s="647"/>
      <c r="Q1529" s="1136"/>
      <c r="R1529" s="963"/>
      <c r="S1529" s="963"/>
      <c r="T1529" s="961"/>
      <c r="U1529" s="654"/>
      <c r="V1529" s="523"/>
    </row>
    <row r="1530" spans="2:22">
      <c r="B1530" s="1234" t="s">
        <v>6507</v>
      </c>
      <c r="C1530" s="653"/>
      <c r="D1530" s="658"/>
      <c r="E1530" s="656"/>
      <c r="F1530" s="656"/>
      <c r="G1530" s="654"/>
      <c r="H1530" s="654"/>
      <c r="I1530" s="31"/>
      <c r="J1530" s="1233"/>
      <c r="K1530" s="31"/>
      <c r="L1530" s="21"/>
      <c r="M1530" s="21"/>
      <c r="N1530" s="21"/>
      <c r="O1530" s="283"/>
      <c r="P1530" s="647"/>
      <c r="Q1530" s="1136"/>
      <c r="R1530" s="963"/>
      <c r="S1530" s="963"/>
      <c r="T1530" s="961"/>
      <c r="U1530" s="654"/>
      <c r="V1530" s="523"/>
    </row>
    <row r="1531" spans="2:22">
      <c r="B1531" s="1234" t="s">
        <v>6508</v>
      </c>
      <c r="C1531" s="653"/>
      <c r="D1531" s="658"/>
      <c r="E1531" s="656"/>
      <c r="F1531" s="656"/>
      <c r="G1531" s="654"/>
      <c r="H1531" s="654"/>
      <c r="I1531" s="31"/>
      <c r="J1531" s="1233"/>
      <c r="K1531" s="31"/>
      <c r="L1531" s="21"/>
      <c r="M1531" s="21"/>
      <c r="N1531" s="21"/>
      <c r="O1531" s="283"/>
      <c r="P1531" s="647"/>
      <c r="Q1531" s="1136"/>
      <c r="R1531" s="963"/>
      <c r="S1531" s="963"/>
      <c r="T1531" s="961"/>
      <c r="U1531" s="654"/>
      <c r="V1531" s="523"/>
    </row>
    <row r="1532" spans="2:22">
      <c r="B1532" s="1234" t="s">
        <v>6509</v>
      </c>
      <c r="C1532" s="653"/>
      <c r="D1532" s="658"/>
      <c r="E1532" s="656"/>
      <c r="F1532" s="656"/>
      <c r="G1532" s="654"/>
      <c r="H1532" s="654"/>
      <c r="I1532" s="31"/>
      <c r="J1532" s="1233"/>
      <c r="K1532" s="31"/>
      <c r="L1532" s="21"/>
      <c r="M1532" s="21"/>
      <c r="N1532" s="21"/>
      <c r="O1532" s="283"/>
      <c r="P1532" s="647"/>
      <c r="Q1532" s="1136"/>
      <c r="R1532" s="963"/>
      <c r="S1532" s="963"/>
      <c r="T1532" s="961"/>
      <c r="U1532" s="654"/>
      <c r="V1532" s="523"/>
    </row>
    <row r="1533" spans="2:22">
      <c r="B1533" s="1234" t="s">
        <v>6510</v>
      </c>
      <c r="C1533" s="653"/>
      <c r="D1533" s="658"/>
      <c r="E1533" s="656"/>
      <c r="F1533" s="656"/>
      <c r="G1533" s="654"/>
      <c r="H1533" s="654"/>
      <c r="I1533" s="31"/>
      <c r="J1533" s="1233"/>
      <c r="K1533" s="31"/>
      <c r="L1533" s="21"/>
      <c r="M1533" s="21"/>
      <c r="N1533" s="21"/>
      <c r="O1533" s="283"/>
      <c r="P1533" s="647"/>
      <c r="Q1533" s="1136"/>
      <c r="R1533" s="963"/>
      <c r="S1533" s="963"/>
      <c r="T1533" s="961"/>
      <c r="U1533" s="654"/>
      <c r="V1533" s="523"/>
    </row>
    <row r="1534" spans="2:22">
      <c r="B1534" s="1234" t="s">
        <v>6508</v>
      </c>
      <c r="C1534" s="653"/>
      <c r="D1534" s="658"/>
      <c r="E1534" s="656"/>
      <c r="F1534" s="656"/>
      <c r="G1534" s="654"/>
      <c r="H1534" s="654"/>
      <c r="I1534" s="31"/>
      <c r="J1534" s="1233"/>
      <c r="K1534" s="31"/>
      <c r="L1534" s="21"/>
      <c r="M1534" s="21"/>
      <c r="N1534" s="21"/>
      <c r="O1534" s="283"/>
      <c r="P1534" s="647"/>
      <c r="Q1534" s="1136"/>
      <c r="R1534" s="963"/>
      <c r="S1534" s="963"/>
      <c r="T1534" s="961"/>
      <c r="U1534" s="654"/>
      <c r="V1534" s="523"/>
    </row>
    <row r="1535" spans="2:22">
      <c r="B1535" s="1234" t="s">
        <v>6511</v>
      </c>
      <c r="C1535" s="653"/>
      <c r="D1535" s="658"/>
      <c r="E1535" s="656"/>
      <c r="F1535" s="656"/>
      <c r="G1535" s="654"/>
      <c r="H1535" s="654"/>
      <c r="I1535" s="31"/>
      <c r="J1535" s="1233"/>
      <c r="K1535" s="31"/>
      <c r="L1535" s="21"/>
      <c r="M1535" s="21"/>
      <c r="N1535" s="21"/>
      <c r="O1535" s="283"/>
      <c r="P1535" s="647"/>
      <c r="Q1535" s="1136"/>
      <c r="R1535" s="963"/>
      <c r="S1535" s="963"/>
      <c r="T1535" s="961"/>
      <c r="U1535" s="654"/>
      <c r="V1535" s="523"/>
    </row>
    <row r="1536" spans="2:22">
      <c r="B1536" s="1234" t="s">
        <v>6512</v>
      </c>
      <c r="C1536" s="653"/>
      <c r="D1536" s="658"/>
      <c r="E1536" s="656"/>
      <c r="F1536" s="656"/>
      <c r="G1536" s="654"/>
      <c r="H1536" s="654"/>
      <c r="I1536" s="31"/>
      <c r="J1536" s="1233"/>
      <c r="K1536" s="31"/>
      <c r="L1536" s="21"/>
      <c r="M1536" s="21"/>
      <c r="N1536" s="21"/>
      <c r="O1536" s="283"/>
      <c r="P1536" s="647"/>
      <c r="Q1536" s="1136"/>
      <c r="R1536" s="963"/>
      <c r="S1536" s="963"/>
      <c r="T1536" s="961"/>
      <c r="U1536" s="654"/>
      <c r="V1536" s="523"/>
    </row>
    <row r="1537" spans="2:22">
      <c r="B1537" s="1234" t="s">
        <v>6513</v>
      </c>
      <c r="C1537" s="653"/>
      <c r="D1537" s="658"/>
      <c r="E1537" s="656"/>
      <c r="F1537" s="656"/>
      <c r="G1537" s="654"/>
      <c r="H1537" s="654"/>
      <c r="I1537" s="31"/>
      <c r="J1537" s="1233"/>
      <c r="K1537" s="31"/>
      <c r="L1537" s="21"/>
      <c r="M1537" s="21"/>
      <c r="N1537" s="21"/>
      <c r="O1537" s="283"/>
      <c r="P1537" s="647"/>
      <c r="Q1537" s="1136"/>
      <c r="R1537" s="963"/>
      <c r="S1537" s="963"/>
      <c r="T1537" s="961"/>
      <c r="U1537" s="654"/>
      <c r="V1537" s="523"/>
    </row>
    <row r="1538" spans="2:22">
      <c r="B1538" s="1234" t="s">
        <v>6514</v>
      </c>
      <c r="C1538" s="653"/>
      <c r="D1538" s="658"/>
      <c r="E1538" s="656"/>
      <c r="F1538" s="656"/>
      <c r="G1538" s="654"/>
      <c r="H1538" s="654"/>
      <c r="I1538" s="31"/>
      <c r="J1538" s="1233"/>
      <c r="K1538" s="31"/>
      <c r="L1538" s="21"/>
      <c r="M1538" s="21"/>
      <c r="N1538" s="21"/>
      <c r="O1538" s="283"/>
      <c r="P1538" s="647"/>
      <c r="Q1538" s="1136"/>
      <c r="R1538" s="963"/>
      <c r="S1538" s="963"/>
      <c r="T1538" s="961"/>
      <c r="U1538" s="654"/>
      <c r="V1538" s="523"/>
    </row>
    <row r="1539" spans="2:22">
      <c r="B1539" s="1234" t="s">
        <v>6515</v>
      </c>
      <c r="C1539" s="653"/>
      <c r="D1539" s="658"/>
      <c r="E1539" s="656"/>
      <c r="F1539" s="656"/>
      <c r="G1539" s="654"/>
      <c r="H1539" s="654"/>
      <c r="I1539" s="31"/>
      <c r="J1539" s="1233"/>
      <c r="K1539" s="31"/>
      <c r="L1539" s="21"/>
      <c r="M1539" s="21"/>
      <c r="N1539" s="21"/>
      <c r="O1539" s="283"/>
      <c r="P1539" s="647"/>
      <c r="Q1539" s="1136"/>
      <c r="R1539" s="963"/>
      <c r="S1539" s="963"/>
      <c r="T1539" s="961"/>
      <c r="U1539" s="654"/>
      <c r="V1539" s="523"/>
    </row>
    <row r="1540" spans="2:22">
      <c r="B1540" s="1234" t="s">
        <v>6516</v>
      </c>
      <c r="C1540" s="653"/>
      <c r="D1540" s="658"/>
      <c r="E1540" s="656"/>
      <c r="F1540" s="656"/>
      <c r="G1540" s="654"/>
      <c r="H1540" s="654"/>
      <c r="I1540" s="31"/>
      <c r="J1540" s="1233"/>
      <c r="K1540" s="31"/>
      <c r="L1540" s="21"/>
      <c r="M1540" s="21"/>
      <c r="N1540" s="21"/>
      <c r="O1540" s="283"/>
      <c r="P1540" s="647"/>
      <c r="Q1540" s="1136"/>
      <c r="R1540" s="963"/>
      <c r="S1540" s="963"/>
      <c r="T1540" s="961"/>
      <c r="U1540" s="654"/>
      <c r="V1540" s="523"/>
    </row>
    <row r="1541" spans="2:22">
      <c r="B1541" s="1234" t="s">
        <v>6517</v>
      </c>
      <c r="C1541" s="653"/>
      <c r="D1541" s="658"/>
      <c r="E1541" s="656"/>
      <c r="F1541" s="656"/>
      <c r="G1541" s="654"/>
      <c r="H1541" s="654"/>
      <c r="I1541" s="31"/>
      <c r="J1541" s="1233"/>
      <c r="K1541" s="31"/>
      <c r="L1541" s="21"/>
      <c r="M1541" s="21"/>
      <c r="N1541" s="21"/>
      <c r="O1541" s="283"/>
      <c r="P1541" s="647"/>
      <c r="Q1541" s="1136"/>
      <c r="R1541" s="963"/>
      <c r="S1541" s="963"/>
      <c r="T1541" s="961"/>
      <c r="U1541" s="654"/>
      <c r="V1541" s="523"/>
    </row>
    <row r="1542" spans="2:22">
      <c r="B1542" s="1234" t="s">
        <v>6518</v>
      </c>
      <c r="C1542" s="653"/>
      <c r="D1542" s="658"/>
      <c r="E1542" s="656"/>
      <c r="F1542" s="656"/>
      <c r="G1542" s="654"/>
      <c r="H1542" s="654"/>
      <c r="I1542" s="31"/>
      <c r="J1542" s="1233"/>
      <c r="K1542" s="31"/>
      <c r="L1542" s="21"/>
      <c r="M1542" s="21"/>
      <c r="N1542" s="21"/>
      <c r="O1542" s="283"/>
      <c r="P1542" s="647"/>
      <c r="Q1542" s="1136"/>
      <c r="R1542" s="963"/>
      <c r="S1542" s="963"/>
      <c r="T1542" s="961"/>
      <c r="U1542" s="654"/>
      <c r="V1542" s="523"/>
    </row>
    <row r="1543" spans="2:22">
      <c r="B1543" s="1234" t="s">
        <v>6519</v>
      </c>
      <c r="C1543" s="653"/>
      <c r="D1543" s="658"/>
      <c r="E1543" s="656"/>
      <c r="F1543" s="656"/>
      <c r="G1543" s="654"/>
      <c r="H1543" s="654"/>
      <c r="I1543" s="31"/>
      <c r="J1543" s="1233"/>
      <c r="K1543" s="31"/>
      <c r="L1543" s="21"/>
      <c r="M1543" s="21"/>
      <c r="N1543" s="21"/>
      <c r="O1543" s="283"/>
      <c r="P1543" s="647"/>
      <c r="Q1543" s="1136"/>
      <c r="R1543" s="963"/>
      <c r="S1543" s="963"/>
      <c r="T1543" s="961"/>
      <c r="U1543" s="654"/>
      <c r="V1543" s="523"/>
    </row>
    <row r="1544" spans="2:22">
      <c r="B1544" s="1234" t="s">
        <v>6520</v>
      </c>
      <c r="C1544" s="653"/>
      <c r="D1544" s="658"/>
      <c r="E1544" s="656"/>
      <c r="F1544" s="656"/>
      <c r="G1544" s="654"/>
      <c r="H1544" s="654"/>
      <c r="I1544" s="31"/>
      <c r="J1544" s="1233"/>
      <c r="K1544" s="31"/>
      <c r="L1544" s="21"/>
      <c r="M1544" s="21"/>
      <c r="N1544" s="21"/>
      <c r="O1544" s="283"/>
      <c r="P1544" s="647"/>
      <c r="Q1544" s="1136"/>
      <c r="R1544" s="963"/>
      <c r="S1544" s="963"/>
      <c r="T1544" s="961"/>
      <c r="U1544" s="654"/>
      <c r="V1544" s="523"/>
    </row>
    <row r="1545" spans="2:22">
      <c r="B1545" s="1234" t="s">
        <v>6521</v>
      </c>
      <c r="C1545" s="653"/>
      <c r="D1545" s="658"/>
      <c r="E1545" s="656"/>
      <c r="F1545" s="656"/>
      <c r="G1545" s="654"/>
      <c r="H1545" s="654"/>
      <c r="I1545" s="31"/>
      <c r="J1545" s="1233"/>
      <c r="K1545" s="31"/>
      <c r="L1545" s="21"/>
      <c r="M1545" s="21"/>
      <c r="N1545" s="21"/>
      <c r="O1545" s="283"/>
      <c r="P1545" s="647"/>
      <c r="Q1545" s="1136"/>
      <c r="R1545" s="963"/>
      <c r="S1545" s="963"/>
      <c r="T1545" s="961"/>
      <c r="U1545" s="654"/>
      <c r="V1545" s="523"/>
    </row>
    <row r="1546" spans="2:22">
      <c r="B1546" s="1234" t="s">
        <v>6522</v>
      </c>
      <c r="C1546" s="653"/>
      <c r="D1546" s="658"/>
      <c r="E1546" s="656"/>
      <c r="F1546" s="656"/>
      <c r="G1546" s="654"/>
      <c r="H1546" s="654"/>
      <c r="I1546" s="31"/>
      <c r="J1546" s="1233"/>
      <c r="K1546" s="31"/>
      <c r="L1546" s="21"/>
      <c r="M1546" s="21"/>
      <c r="N1546" s="21"/>
      <c r="O1546" s="283"/>
      <c r="P1546" s="647"/>
      <c r="Q1546" s="1136"/>
      <c r="R1546" s="963"/>
      <c r="S1546" s="963"/>
      <c r="T1546" s="961"/>
      <c r="U1546" s="654"/>
      <c r="V1546" s="523"/>
    </row>
    <row r="1547" spans="2:22">
      <c r="B1547" s="1234" t="s">
        <v>6523</v>
      </c>
      <c r="C1547" s="653"/>
      <c r="D1547" s="658"/>
      <c r="E1547" s="656"/>
      <c r="F1547" s="656"/>
      <c r="G1547" s="654"/>
      <c r="H1547" s="654"/>
      <c r="I1547" s="31"/>
      <c r="J1547" s="1233"/>
      <c r="K1547" s="31"/>
      <c r="L1547" s="21"/>
      <c r="M1547" s="21"/>
      <c r="N1547" s="21"/>
      <c r="O1547" s="283"/>
      <c r="P1547" s="647"/>
      <c r="Q1547" s="1136"/>
      <c r="R1547" s="963"/>
      <c r="S1547" s="963"/>
      <c r="T1547" s="961"/>
      <c r="U1547" s="654"/>
      <c r="V1547" s="523"/>
    </row>
    <row r="1548" spans="2:22">
      <c r="B1548" s="1234" t="s">
        <v>6524</v>
      </c>
      <c r="C1548" s="653"/>
      <c r="D1548" s="658"/>
      <c r="E1548" s="656"/>
      <c r="F1548" s="656"/>
      <c r="G1548" s="654"/>
      <c r="H1548" s="654"/>
      <c r="I1548" s="31"/>
      <c r="J1548" s="1233"/>
      <c r="K1548" s="31"/>
      <c r="L1548" s="21"/>
      <c r="M1548" s="21"/>
      <c r="N1548" s="21"/>
      <c r="O1548" s="283"/>
      <c r="P1548" s="647"/>
      <c r="Q1548" s="1136"/>
      <c r="R1548" s="963"/>
      <c r="S1548" s="963"/>
      <c r="T1548" s="961"/>
      <c r="U1548" s="654"/>
      <c r="V1548" s="523"/>
    </row>
    <row r="1549" spans="2:22">
      <c r="B1549" s="1234" t="s">
        <v>6525</v>
      </c>
      <c r="C1549" s="653"/>
      <c r="D1549" s="658"/>
      <c r="E1549" s="656"/>
      <c r="F1549" s="656"/>
      <c r="G1549" s="654"/>
      <c r="H1549" s="654"/>
      <c r="I1549" s="31"/>
      <c r="J1549" s="1233"/>
      <c r="K1549" s="31"/>
      <c r="L1549" s="21"/>
      <c r="M1549" s="21"/>
      <c r="N1549" s="21"/>
      <c r="O1549" s="283"/>
      <c r="P1549" s="647"/>
      <c r="Q1549" s="1136"/>
      <c r="R1549" s="963"/>
      <c r="S1549" s="963"/>
      <c r="T1549" s="961"/>
      <c r="U1549" s="654"/>
      <c r="V1549" s="523"/>
    </row>
    <row r="1550" spans="2:22">
      <c r="B1550" s="1234" t="s">
        <v>6526</v>
      </c>
      <c r="C1550" s="653"/>
      <c r="D1550" s="658"/>
      <c r="E1550" s="656"/>
      <c r="F1550" s="656"/>
      <c r="G1550" s="654"/>
      <c r="H1550" s="654"/>
      <c r="I1550" s="31"/>
      <c r="J1550" s="1233"/>
      <c r="K1550" s="31"/>
      <c r="L1550" s="21"/>
      <c r="M1550" s="21"/>
      <c r="N1550" s="21"/>
      <c r="O1550" s="283"/>
      <c r="P1550" s="647"/>
      <c r="Q1550" s="1136"/>
      <c r="R1550" s="963"/>
      <c r="S1550" s="963"/>
      <c r="T1550" s="961"/>
      <c r="U1550" s="654"/>
      <c r="V1550" s="523"/>
    </row>
    <row r="1551" spans="2:22">
      <c r="B1551" s="1234" t="s">
        <v>6527</v>
      </c>
      <c r="C1551" s="653"/>
      <c r="D1551" s="658"/>
      <c r="E1551" s="656"/>
      <c r="F1551" s="656"/>
      <c r="G1551" s="654"/>
      <c r="H1551" s="654"/>
      <c r="I1551" s="31"/>
      <c r="J1551" s="1233"/>
      <c r="K1551" s="31"/>
      <c r="L1551" s="21"/>
      <c r="M1551" s="21"/>
      <c r="N1551" s="21"/>
      <c r="O1551" s="283"/>
      <c r="P1551" s="647"/>
      <c r="Q1551" s="1136"/>
      <c r="R1551" s="963"/>
      <c r="S1551" s="963"/>
      <c r="T1551" s="961"/>
      <c r="U1551" s="654"/>
      <c r="V1551" s="523"/>
    </row>
    <row r="1552" spans="2:22">
      <c r="B1552" s="1234" t="s">
        <v>6528</v>
      </c>
      <c r="C1552" s="653"/>
      <c r="D1552" s="658"/>
      <c r="E1552" s="656"/>
      <c r="F1552" s="656"/>
      <c r="G1552" s="654"/>
      <c r="H1552" s="654"/>
      <c r="I1552" s="31"/>
      <c r="J1552" s="1233"/>
      <c r="K1552" s="31"/>
      <c r="L1552" s="21"/>
      <c r="M1552" s="21"/>
      <c r="N1552" s="21"/>
      <c r="O1552" s="283"/>
      <c r="P1552" s="647"/>
      <c r="Q1552" s="1136"/>
      <c r="R1552" s="963"/>
      <c r="S1552" s="963"/>
      <c r="T1552" s="961"/>
      <c r="U1552" s="654"/>
      <c r="V1552" s="523"/>
    </row>
    <row r="1553" spans="2:22">
      <c r="B1553" s="653"/>
      <c r="C1553" s="653"/>
      <c r="D1553" s="658"/>
      <c r="E1553" s="656"/>
      <c r="F1553" s="656"/>
      <c r="G1553" s="654"/>
      <c r="H1553" s="654"/>
      <c r="I1553" s="31"/>
      <c r="J1553" s="1233"/>
      <c r="K1553" s="31"/>
      <c r="L1553" s="21"/>
      <c r="M1553" s="21"/>
      <c r="N1553" s="21"/>
      <c r="O1553" s="283"/>
      <c r="P1553" s="647"/>
      <c r="Q1553" s="1136"/>
      <c r="R1553" s="963"/>
      <c r="S1553" s="963"/>
      <c r="T1553" s="961"/>
      <c r="U1553" s="654"/>
      <c r="V1553" s="523"/>
    </row>
    <row r="1554" spans="2:22" ht="30">
      <c r="B1554" s="653" t="s">
        <v>311</v>
      </c>
      <c r="C1554" s="653"/>
      <c r="D1554" s="658" t="s">
        <v>4305</v>
      </c>
      <c r="E1554" s="656">
        <v>41358</v>
      </c>
      <c r="F1554" s="656"/>
      <c r="G1554" s="654" t="s">
        <v>315</v>
      </c>
      <c r="H1554" s="654"/>
      <c r="I1554" s="31"/>
      <c r="J1554" s="1233"/>
      <c r="K1554" s="31"/>
      <c r="L1554" s="21">
        <v>4000</v>
      </c>
      <c r="M1554" s="21"/>
      <c r="N1554" s="21">
        <f t="shared" si="240"/>
        <v>4000</v>
      </c>
      <c r="O1554" s="283"/>
      <c r="P1554" s="647" t="s">
        <v>110</v>
      </c>
      <c r="Q1554" s="1136" t="s">
        <v>105</v>
      </c>
      <c r="R1554" s="36">
        <f>SUM(R1555:R1556)</f>
        <v>4000</v>
      </c>
      <c r="S1554" s="36">
        <f>SUM(S1555:S1556)</f>
        <v>4000</v>
      </c>
      <c r="T1554" s="739"/>
      <c r="U1554" s="654"/>
      <c r="V1554" s="523" t="s">
        <v>307</v>
      </c>
    </row>
    <row r="1555" spans="2:22">
      <c r="B1555" s="653" t="s">
        <v>6161</v>
      </c>
      <c r="C1555" s="653"/>
      <c r="D1555" s="658"/>
      <c r="E1555" s="656"/>
      <c r="F1555" s="656"/>
      <c r="G1555" s="654"/>
      <c r="H1555" s="654"/>
      <c r="I1555" s="31"/>
      <c r="J1555" s="1233"/>
      <c r="K1555" s="31"/>
      <c r="L1555" s="21"/>
      <c r="M1555" s="21"/>
      <c r="N1555" s="21"/>
      <c r="O1555" s="283"/>
      <c r="P1555" s="647"/>
      <c r="Q1555" s="1136"/>
      <c r="R1555" s="35">
        <v>2000</v>
      </c>
      <c r="S1555" s="35">
        <v>2000</v>
      </c>
      <c r="T1555" s="827" t="s">
        <v>6163</v>
      </c>
      <c r="U1555" s="654"/>
      <c r="V1555" s="523"/>
    </row>
    <row r="1556" spans="2:22">
      <c r="B1556" s="653" t="s">
        <v>6162</v>
      </c>
      <c r="C1556" s="653"/>
      <c r="D1556" s="658"/>
      <c r="E1556" s="656"/>
      <c r="F1556" s="656"/>
      <c r="G1556" s="654"/>
      <c r="H1556" s="654"/>
      <c r="I1556" s="31"/>
      <c r="J1556" s="1233"/>
      <c r="K1556" s="31"/>
      <c r="L1556" s="21"/>
      <c r="M1556" s="21"/>
      <c r="N1556" s="21"/>
      <c r="O1556" s="283"/>
      <c r="P1556" s="647"/>
      <c r="Q1556" s="1136"/>
      <c r="R1556" s="35">
        <v>2000</v>
      </c>
      <c r="S1556" s="35">
        <v>2000</v>
      </c>
      <c r="T1556" s="827" t="s">
        <v>6163</v>
      </c>
      <c r="U1556" s="654"/>
      <c r="V1556" s="523"/>
    </row>
    <row r="1557" spans="2:22" ht="90">
      <c r="B1557" s="653" t="s">
        <v>308</v>
      </c>
      <c r="C1557" s="653"/>
      <c r="D1557" s="658" t="s">
        <v>4307</v>
      </c>
      <c r="E1557" s="656">
        <v>41358</v>
      </c>
      <c r="F1557" s="656"/>
      <c r="G1557" s="654" t="s">
        <v>4306</v>
      </c>
      <c r="H1557" s="654"/>
      <c r="I1557" s="31"/>
      <c r="J1557" s="1233"/>
      <c r="K1557" s="31"/>
      <c r="L1557" s="21">
        <v>15700</v>
      </c>
      <c r="M1557" s="21"/>
      <c r="N1557" s="21">
        <f t="shared" si="240"/>
        <v>15700</v>
      </c>
      <c r="O1557" s="283"/>
      <c r="P1557" s="647" t="s">
        <v>110</v>
      </c>
      <c r="Q1557" s="1136" t="s">
        <v>105</v>
      </c>
      <c r="R1557" s="963">
        <v>15700</v>
      </c>
      <c r="S1557" s="963">
        <v>15700</v>
      </c>
      <c r="T1557" s="961" t="s">
        <v>4646</v>
      </c>
      <c r="U1557" s="654"/>
      <c r="V1557" s="523" t="s">
        <v>307</v>
      </c>
    </row>
    <row r="1558" spans="2:22" ht="30">
      <c r="B1558" s="653" t="s">
        <v>311</v>
      </c>
      <c r="C1558" s="653"/>
      <c r="D1558" s="658" t="s">
        <v>4308</v>
      </c>
      <c r="E1558" s="656">
        <v>41358</v>
      </c>
      <c r="F1558" s="656"/>
      <c r="G1558" s="654" t="s">
        <v>3961</v>
      </c>
      <c r="H1558" s="654"/>
      <c r="I1558" s="31"/>
      <c r="J1558" s="1233"/>
      <c r="K1558" s="31"/>
      <c r="L1558" s="21">
        <v>100</v>
      </c>
      <c r="M1558" s="21"/>
      <c r="N1558" s="21">
        <f t="shared" si="240"/>
        <v>100</v>
      </c>
      <c r="O1558" s="283"/>
      <c r="P1558" s="647" t="s">
        <v>110</v>
      </c>
      <c r="Q1558" s="1136" t="s">
        <v>105</v>
      </c>
      <c r="R1558" s="963">
        <v>100</v>
      </c>
      <c r="S1558" s="963">
        <v>100</v>
      </c>
      <c r="T1558" s="961"/>
      <c r="U1558" s="654"/>
      <c r="V1558" s="523" t="s">
        <v>307</v>
      </c>
    </row>
    <row r="1559" spans="2:22" ht="30">
      <c r="B1559" s="653" t="s">
        <v>349</v>
      </c>
      <c r="C1559" s="653"/>
      <c r="D1559" s="658" t="s">
        <v>4309</v>
      </c>
      <c r="E1559" s="656">
        <v>41358</v>
      </c>
      <c r="F1559" s="656"/>
      <c r="G1559" s="654" t="s">
        <v>2167</v>
      </c>
      <c r="H1559" s="654"/>
      <c r="I1559" s="31"/>
      <c r="J1559" s="1233"/>
      <c r="K1559" s="31"/>
      <c r="L1559" s="21">
        <v>6000</v>
      </c>
      <c r="M1559" s="21"/>
      <c r="N1559" s="21">
        <f t="shared" si="240"/>
        <v>6000</v>
      </c>
      <c r="O1559" s="283"/>
      <c r="P1559" s="647" t="s">
        <v>110</v>
      </c>
      <c r="Q1559" s="1136" t="s">
        <v>105</v>
      </c>
      <c r="R1559" s="968">
        <v>6000</v>
      </c>
      <c r="S1559" s="968">
        <v>6000</v>
      </c>
      <c r="T1559" s="961"/>
      <c r="U1559" s="654"/>
      <c r="V1559" s="523" t="s">
        <v>307</v>
      </c>
    </row>
    <row r="1560" spans="2:22" ht="30">
      <c r="B1560" s="653" t="s">
        <v>314</v>
      </c>
      <c r="C1560" s="653"/>
      <c r="D1560" s="658" t="s">
        <v>4311</v>
      </c>
      <c r="E1560" s="656">
        <v>41358</v>
      </c>
      <c r="F1560" s="656"/>
      <c r="G1560" s="654" t="s">
        <v>4310</v>
      </c>
      <c r="H1560" s="654"/>
      <c r="I1560" s="31"/>
      <c r="J1560" s="1233"/>
      <c r="K1560" s="31"/>
      <c r="L1560" s="21">
        <v>500</v>
      </c>
      <c r="M1560" s="21"/>
      <c r="N1560" s="21">
        <f t="shared" ref="N1560:N1599" si="241">SUM(L1560:M1560)</f>
        <v>500</v>
      </c>
      <c r="O1560" s="283"/>
      <c r="P1560" s="647" t="s">
        <v>110</v>
      </c>
      <c r="Q1560" s="1136" t="s">
        <v>105</v>
      </c>
      <c r="R1560" s="963">
        <v>500</v>
      </c>
      <c r="S1560" s="963">
        <v>500</v>
      </c>
      <c r="T1560" s="961"/>
      <c r="U1560" s="654"/>
      <c r="V1560" s="523" t="s">
        <v>307</v>
      </c>
    </row>
    <row r="1561" spans="2:22" ht="30">
      <c r="B1561" s="653" t="s">
        <v>331</v>
      </c>
      <c r="C1561" s="653"/>
      <c r="D1561" s="658" t="s">
        <v>4313</v>
      </c>
      <c r="E1561" s="656">
        <v>41358</v>
      </c>
      <c r="F1561" s="656"/>
      <c r="G1561" s="654" t="s">
        <v>4312</v>
      </c>
      <c r="H1561" s="654"/>
      <c r="I1561" s="31"/>
      <c r="J1561" s="1233"/>
      <c r="K1561" s="31"/>
      <c r="L1561" s="21">
        <v>1000</v>
      </c>
      <c r="M1561" s="21"/>
      <c r="N1561" s="21">
        <f t="shared" si="241"/>
        <v>1000</v>
      </c>
      <c r="O1561" s="283"/>
      <c r="P1561" s="647" t="s">
        <v>110</v>
      </c>
      <c r="Q1561" s="1136" t="s">
        <v>105</v>
      </c>
      <c r="R1561" s="963">
        <v>1000</v>
      </c>
      <c r="S1561" s="963">
        <v>1000</v>
      </c>
      <c r="T1561" s="961"/>
      <c r="U1561" s="654"/>
      <c r="V1561" s="523" t="s">
        <v>307</v>
      </c>
    </row>
    <row r="1562" spans="2:22" ht="30">
      <c r="B1562" s="653" t="s">
        <v>308</v>
      </c>
      <c r="C1562" s="653"/>
      <c r="D1562" s="658" t="s">
        <v>4315</v>
      </c>
      <c r="E1562" s="656">
        <v>41415</v>
      </c>
      <c r="F1562" s="656"/>
      <c r="G1562" s="660" t="s">
        <v>4314</v>
      </c>
      <c r="H1562" s="654"/>
      <c r="I1562" s="31"/>
      <c r="J1562" s="1233"/>
      <c r="K1562" s="31"/>
      <c r="L1562" s="21">
        <v>-10000</v>
      </c>
      <c r="M1562" s="21"/>
      <c r="N1562" s="21">
        <f t="shared" si="241"/>
        <v>-10000</v>
      </c>
      <c r="O1562" s="283"/>
      <c r="P1562" s="647" t="s">
        <v>110</v>
      </c>
      <c r="Q1562" s="1136" t="s">
        <v>105</v>
      </c>
      <c r="R1562" s="963">
        <v>-10000</v>
      </c>
      <c r="S1562" s="963">
        <v>-10000</v>
      </c>
      <c r="T1562" s="961"/>
      <c r="U1562" s="654"/>
      <c r="V1562" s="523" t="s">
        <v>307</v>
      </c>
    </row>
    <row r="1563" spans="2:22" ht="30">
      <c r="B1563" s="653" t="s">
        <v>2651</v>
      </c>
      <c r="C1563" s="653"/>
      <c r="D1563" s="658" t="s">
        <v>4317</v>
      </c>
      <c r="E1563" s="656">
        <v>41415</v>
      </c>
      <c r="F1563" s="656"/>
      <c r="G1563" s="662" t="s">
        <v>4316</v>
      </c>
      <c r="H1563" s="281"/>
      <c r="I1563" s="31"/>
      <c r="J1563" s="1233"/>
      <c r="K1563" s="31"/>
      <c r="L1563" s="21">
        <f>-10000+10000</f>
        <v>0</v>
      </c>
      <c r="M1563" s="21"/>
      <c r="N1563" s="21">
        <f t="shared" si="241"/>
        <v>0</v>
      </c>
      <c r="O1563" s="283"/>
      <c r="P1563" s="647" t="s">
        <v>110</v>
      </c>
      <c r="Q1563" s="1136" t="s">
        <v>105</v>
      </c>
      <c r="R1563" s="963"/>
      <c r="S1563" s="963"/>
      <c r="T1563" s="961"/>
      <c r="U1563" s="654"/>
      <c r="V1563" s="523"/>
    </row>
    <row r="1564" spans="2:22" ht="30">
      <c r="B1564" s="653" t="s">
        <v>337</v>
      </c>
      <c r="C1564" s="653"/>
      <c r="D1564" s="658" t="s">
        <v>4318</v>
      </c>
      <c r="E1564" s="656">
        <v>41417</v>
      </c>
      <c r="F1564" s="656"/>
      <c r="G1564" s="654" t="s">
        <v>315</v>
      </c>
      <c r="H1564" s="654"/>
      <c r="I1564" s="31"/>
      <c r="J1564" s="1233"/>
      <c r="K1564" s="31"/>
      <c r="L1564" s="21">
        <v>6720</v>
      </c>
      <c r="M1564" s="21"/>
      <c r="N1564" s="21">
        <f t="shared" si="241"/>
        <v>6720</v>
      </c>
      <c r="O1564" s="283"/>
      <c r="P1564" s="647" t="s">
        <v>110</v>
      </c>
      <c r="Q1564" s="1136" t="s">
        <v>105</v>
      </c>
      <c r="R1564" s="963">
        <v>6720</v>
      </c>
      <c r="S1564" s="963">
        <v>6720</v>
      </c>
      <c r="T1564" s="961"/>
      <c r="U1564" s="654"/>
      <c r="V1564" s="523" t="s">
        <v>307</v>
      </c>
    </row>
    <row r="1565" spans="2:22" ht="30">
      <c r="B1565" s="653" t="s">
        <v>311</v>
      </c>
      <c r="C1565" s="653"/>
      <c r="D1565" s="658" t="s">
        <v>4320</v>
      </c>
      <c r="E1565" s="656">
        <v>41429</v>
      </c>
      <c r="F1565" s="656"/>
      <c r="G1565" s="662" t="s">
        <v>4319</v>
      </c>
      <c r="H1565" s="281"/>
      <c r="I1565" s="31"/>
      <c r="J1565" s="1233"/>
      <c r="K1565" s="31"/>
      <c r="L1565" s="21">
        <f>-10000+10000</f>
        <v>0</v>
      </c>
      <c r="M1565" s="21"/>
      <c r="N1565" s="21">
        <f t="shared" si="241"/>
        <v>0</v>
      </c>
      <c r="O1565" s="283"/>
      <c r="P1565" s="647" t="s">
        <v>110</v>
      </c>
      <c r="Q1565" s="1136" t="s">
        <v>105</v>
      </c>
      <c r="R1565" s="963"/>
      <c r="S1565" s="963"/>
      <c r="T1565" s="961"/>
      <c r="U1565" s="654"/>
      <c r="V1565" s="523"/>
    </row>
    <row r="1566" spans="2:22" ht="90">
      <c r="B1566" s="653" t="s">
        <v>308</v>
      </c>
      <c r="C1566" s="653"/>
      <c r="D1566" s="658" t="s">
        <v>4321</v>
      </c>
      <c r="E1566" s="656">
        <v>41424</v>
      </c>
      <c r="F1566" s="656"/>
      <c r="G1566" s="654" t="s">
        <v>3619</v>
      </c>
      <c r="H1566" s="654"/>
      <c r="I1566" s="31"/>
      <c r="J1566" s="1233"/>
      <c r="K1566" s="31"/>
      <c r="L1566" s="21">
        <v>5000</v>
      </c>
      <c r="M1566" s="21"/>
      <c r="N1566" s="21">
        <f t="shared" si="241"/>
        <v>5000</v>
      </c>
      <c r="O1566" s="283"/>
      <c r="P1566" s="647" t="s">
        <v>110</v>
      </c>
      <c r="Q1566" s="1136" t="s">
        <v>105</v>
      </c>
      <c r="R1566" s="963">
        <v>5000</v>
      </c>
      <c r="S1566" s="963">
        <v>5000</v>
      </c>
      <c r="T1566" s="961" t="s">
        <v>4646</v>
      </c>
      <c r="U1566" s="654"/>
      <c r="V1566" s="523" t="s">
        <v>307</v>
      </c>
    </row>
    <row r="1567" spans="2:22" ht="30">
      <c r="B1567" s="653" t="s">
        <v>308</v>
      </c>
      <c r="C1567" s="653"/>
      <c r="D1567" s="658" t="s">
        <v>4323</v>
      </c>
      <c r="E1567" s="656">
        <v>41446</v>
      </c>
      <c r="F1567" s="656"/>
      <c r="G1567" s="654" t="s">
        <v>4322</v>
      </c>
      <c r="H1567" s="654"/>
      <c r="I1567" s="31"/>
      <c r="J1567" s="1233"/>
      <c r="K1567" s="31"/>
      <c r="L1567" s="21">
        <v>-1400</v>
      </c>
      <c r="M1567" s="21"/>
      <c r="N1567" s="21">
        <f t="shared" si="241"/>
        <v>-1400</v>
      </c>
      <c r="O1567" s="283"/>
      <c r="P1567" s="647" t="s">
        <v>110</v>
      </c>
      <c r="Q1567" s="1136" t="s">
        <v>105</v>
      </c>
      <c r="R1567" s="963">
        <v>-1400</v>
      </c>
      <c r="S1567" s="963">
        <v>-1400</v>
      </c>
      <c r="T1567" s="961"/>
      <c r="U1567" s="654"/>
      <c r="V1567" s="523" t="s">
        <v>307</v>
      </c>
    </row>
    <row r="1568" spans="2:22" ht="30">
      <c r="B1568" s="653" t="s">
        <v>321</v>
      </c>
      <c r="C1568" s="653"/>
      <c r="D1568" s="658" t="s">
        <v>4325</v>
      </c>
      <c r="E1568" s="656">
        <v>41451</v>
      </c>
      <c r="F1568" s="656"/>
      <c r="G1568" s="654" t="s">
        <v>4324</v>
      </c>
      <c r="H1568" s="654"/>
      <c r="I1568" s="31"/>
      <c r="J1568" s="1233"/>
      <c r="K1568" s="31"/>
      <c r="L1568" s="21">
        <f>-6000000+6000000</f>
        <v>0</v>
      </c>
      <c r="M1568" s="21"/>
      <c r="N1568" s="21">
        <f t="shared" si="241"/>
        <v>0</v>
      </c>
      <c r="O1568" s="283"/>
      <c r="P1568" s="647" t="s">
        <v>110</v>
      </c>
      <c r="Q1568" s="1136" t="s">
        <v>105</v>
      </c>
      <c r="R1568" s="963">
        <f>-6000000+6000000</f>
        <v>0</v>
      </c>
      <c r="S1568" s="963">
        <f>-6000000+6000000</f>
        <v>0</v>
      </c>
      <c r="T1568" s="961"/>
      <c r="U1568" s="654"/>
      <c r="V1568" s="523" t="s">
        <v>307</v>
      </c>
    </row>
    <row r="1569" spans="2:22" ht="30">
      <c r="B1569" s="653" t="s">
        <v>321</v>
      </c>
      <c r="C1569" s="653"/>
      <c r="D1569" s="658" t="s">
        <v>4327</v>
      </c>
      <c r="E1569" s="656">
        <v>41442</v>
      </c>
      <c r="F1569" s="656"/>
      <c r="G1569" s="654" t="s">
        <v>4326</v>
      </c>
      <c r="H1569" s="654"/>
      <c r="I1569" s="31"/>
      <c r="J1569" s="1233"/>
      <c r="K1569" s="31"/>
      <c r="L1569" s="21">
        <f>13665446/1000</f>
        <v>13665.446</v>
      </c>
      <c r="M1569" s="21"/>
      <c r="N1569" s="21">
        <f t="shared" si="241"/>
        <v>13665.446</v>
      </c>
      <c r="O1569" s="283"/>
      <c r="P1569" s="647" t="s">
        <v>110</v>
      </c>
      <c r="Q1569" s="1136" t="s">
        <v>105</v>
      </c>
      <c r="R1569" s="963">
        <f>13665446/1000</f>
        <v>13665.446</v>
      </c>
      <c r="S1569" s="963">
        <f>13665446/1000</f>
        <v>13665.446</v>
      </c>
      <c r="T1569" s="961"/>
      <c r="U1569" s="654"/>
      <c r="V1569" s="523" t="s">
        <v>307</v>
      </c>
    </row>
    <row r="1570" spans="2:22">
      <c r="B1570" s="661" t="s">
        <v>6529</v>
      </c>
      <c r="C1570" s="653"/>
      <c r="D1570" s="658"/>
      <c r="E1570" s="656"/>
      <c r="F1570" s="656"/>
      <c r="G1570" s="654"/>
      <c r="H1570" s="654"/>
      <c r="I1570" s="31"/>
      <c r="J1570" s="1233"/>
      <c r="K1570" s="31"/>
      <c r="L1570" s="21"/>
      <c r="M1570" s="21"/>
      <c r="N1570" s="21"/>
      <c r="O1570" s="283"/>
      <c r="P1570" s="647"/>
      <c r="Q1570" s="1136"/>
      <c r="R1570" s="963"/>
      <c r="S1570" s="963"/>
      <c r="T1570" s="961"/>
      <c r="U1570" s="654"/>
      <c r="V1570" s="523"/>
    </row>
    <row r="1571" spans="2:22">
      <c r="B1571" s="661" t="s">
        <v>6530</v>
      </c>
      <c r="C1571" s="653"/>
      <c r="D1571" s="658"/>
      <c r="E1571" s="656"/>
      <c r="F1571" s="656"/>
      <c r="G1571" s="654"/>
      <c r="H1571" s="654"/>
      <c r="I1571" s="31"/>
      <c r="J1571" s="1233"/>
      <c r="K1571" s="31"/>
      <c r="L1571" s="21"/>
      <c r="M1571" s="21"/>
      <c r="N1571" s="21"/>
      <c r="O1571" s="283"/>
      <c r="P1571" s="647"/>
      <c r="Q1571" s="1136"/>
      <c r="R1571" s="963"/>
      <c r="S1571" s="963"/>
      <c r="T1571" s="961"/>
      <c r="U1571" s="654"/>
      <c r="V1571" s="523"/>
    </row>
    <row r="1572" spans="2:22">
      <c r="B1572" s="661" t="s">
        <v>6531</v>
      </c>
      <c r="C1572" s="653"/>
      <c r="D1572" s="658"/>
      <c r="E1572" s="656"/>
      <c r="F1572" s="656"/>
      <c r="G1572" s="654"/>
      <c r="H1572" s="654"/>
      <c r="I1572" s="31"/>
      <c r="J1572" s="1233"/>
      <c r="K1572" s="31"/>
      <c r="L1572" s="21"/>
      <c r="M1572" s="21"/>
      <c r="N1572" s="21"/>
      <c r="O1572" s="283"/>
      <c r="P1572" s="647"/>
      <c r="Q1572" s="1136"/>
      <c r="R1572" s="963"/>
      <c r="S1572" s="963"/>
      <c r="T1572" s="961"/>
      <c r="U1572" s="654"/>
      <c r="V1572" s="523"/>
    </row>
    <row r="1573" spans="2:22">
      <c r="B1573" s="661" t="s">
        <v>6532</v>
      </c>
      <c r="C1573" s="653"/>
      <c r="D1573" s="658"/>
      <c r="E1573" s="656"/>
      <c r="F1573" s="656"/>
      <c r="G1573" s="654"/>
      <c r="H1573" s="654"/>
      <c r="I1573" s="31"/>
      <c r="J1573" s="1233"/>
      <c r="K1573" s="31"/>
      <c r="L1573" s="21"/>
      <c r="M1573" s="21"/>
      <c r="N1573" s="21"/>
      <c r="O1573" s="283"/>
      <c r="P1573" s="647"/>
      <c r="Q1573" s="1136"/>
      <c r="R1573" s="963"/>
      <c r="S1573" s="963"/>
      <c r="T1573" s="961"/>
      <c r="U1573" s="654"/>
      <c r="V1573" s="523"/>
    </row>
    <row r="1574" spans="2:22">
      <c r="B1574" s="661" t="s">
        <v>6533</v>
      </c>
      <c r="C1574" s="653"/>
      <c r="D1574" s="658"/>
      <c r="E1574" s="656"/>
      <c r="F1574" s="656"/>
      <c r="G1574" s="654"/>
      <c r="H1574" s="654"/>
      <c r="I1574" s="31"/>
      <c r="J1574" s="1233"/>
      <c r="K1574" s="31"/>
      <c r="L1574" s="21"/>
      <c r="M1574" s="21"/>
      <c r="N1574" s="21"/>
      <c r="O1574" s="283"/>
      <c r="P1574" s="647"/>
      <c r="Q1574" s="1136"/>
      <c r="R1574" s="963"/>
      <c r="S1574" s="963"/>
      <c r="T1574" s="961"/>
      <c r="U1574" s="654"/>
      <c r="V1574" s="523"/>
    </row>
    <row r="1575" spans="2:22">
      <c r="B1575" s="653"/>
      <c r="C1575" s="653"/>
      <c r="D1575" s="658"/>
      <c r="E1575" s="656"/>
      <c r="F1575" s="656"/>
      <c r="G1575" s="654"/>
      <c r="H1575" s="654"/>
      <c r="I1575" s="31"/>
      <c r="J1575" s="1233"/>
      <c r="K1575" s="31"/>
      <c r="L1575" s="21"/>
      <c r="M1575" s="21"/>
      <c r="N1575" s="21"/>
      <c r="O1575" s="283"/>
      <c r="P1575" s="647"/>
      <c r="Q1575" s="1136"/>
      <c r="R1575" s="963"/>
      <c r="S1575" s="963"/>
      <c r="T1575" s="961"/>
      <c r="U1575" s="654"/>
      <c r="V1575" s="523"/>
    </row>
    <row r="1576" spans="2:22" ht="30">
      <c r="B1576" s="653" t="s">
        <v>314</v>
      </c>
      <c r="C1576" s="653"/>
      <c r="D1576" s="658" t="s">
        <v>4329</v>
      </c>
      <c r="E1576" s="656">
        <v>41451</v>
      </c>
      <c r="F1576" s="656"/>
      <c r="G1576" s="654" t="s">
        <v>4328</v>
      </c>
      <c r="H1576" s="654"/>
      <c r="I1576" s="31"/>
      <c r="J1576" s="1233"/>
      <c r="K1576" s="31"/>
      <c r="L1576" s="21">
        <v>500</v>
      </c>
      <c r="M1576" s="21"/>
      <c r="N1576" s="21">
        <f t="shared" si="241"/>
        <v>500</v>
      </c>
      <c r="O1576" s="283"/>
      <c r="P1576" s="647" t="s">
        <v>110</v>
      </c>
      <c r="Q1576" s="1136" t="s">
        <v>105</v>
      </c>
      <c r="R1576" s="963">
        <v>500</v>
      </c>
      <c r="S1576" s="963">
        <v>500</v>
      </c>
      <c r="T1576" s="961"/>
      <c r="U1576" s="654"/>
      <c r="V1576" s="523" t="s">
        <v>307</v>
      </c>
    </row>
    <row r="1577" spans="2:22" ht="90">
      <c r="B1577" s="653" t="s">
        <v>308</v>
      </c>
      <c r="C1577" s="653"/>
      <c r="D1577" s="658" t="s">
        <v>4330</v>
      </c>
      <c r="E1577" s="656">
        <v>41451</v>
      </c>
      <c r="F1577" s="656"/>
      <c r="G1577" s="654" t="s">
        <v>3626</v>
      </c>
      <c r="H1577" s="654"/>
      <c r="I1577" s="31"/>
      <c r="J1577" s="1233"/>
      <c r="K1577" s="31"/>
      <c r="L1577" s="21">
        <v>500</v>
      </c>
      <c r="M1577" s="21"/>
      <c r="N1577" s="21">
        <f t="shared" si="241"/>
        <v>500</v>
      </c>
      <c r="O1577" s="283"/>
      <c r="P1577" s="647" t="s">
        <v>110</v>
      </c>
      <c r="Q1577" s="1136" t="s">
        <v>105</v>
      </c>
      <c r="R1577" s="963">
        <v>500</v>
      </c>
      <c r="S1577" s="963">
        <v>500</v>
      </c>
      <c r="T1577" s="961" t="s">
        <v>4646</v>
      </c>
      <c r="U1577" s="654"/>
      <c r="V1577" s="523" t="s">
        <v>307</v>
      </c>
    </row>
    <row r="1578" spans="2:22" ht="30">
      <c r="B1578" s="653" t="s">
        <v>308</v>
      </c>
      <c r="C1578" s="653"/>
      <c r="D1578" s="658" t="s">
        <v>4332</v>
      </c>
      <c r="E1578" s="656">
        <v>41453</v>
      </c>
      <c r="F1578" s="656"/>
      <c r="G1578" s="654" t="s">
        <v>4331</v>
      </c>
      <c r="H1578" s="654"/>
      <c r="I1578" s="31"/>
      <c r="J1578" s="1233"/>
      <c r="K1578" s="31"/>
      <c r="L1578" s="21">
        <v>-15700</v>
      </c>
      <c r="M1578" s="21"/>
      <c r="N1578" s="21">
        <f t="shared" si="241"/>
        <v>-15700</v>
      </c>
      <c r="O1578" s="283"/>
      <c r="P1578" s="647" t="s">
        <v>110</v>
      </c>
      <c r="Q1578" s="1136" t="s">
        <v>105</v>
      </c>
      <c r="R1578" s="963">
        <v>-15700</v>
      </c>
      <c r="S1578" s="963">
        <v>-15700</v>
      </c>
      <c r="T1578" s="961"/>
      <c r="U1578" s="654"/>
      <c r="V1578" s="523" t="s">
        <v>307</v>
      </c>
    </row>
    <row r="1579" spans="2:22" ht="30">
      <c r="B1579" s="653" t="s">
        <v>388</v>
      </c>
      <c r="C1579" s="653"/>
      <c r="D1579" s="658" t="s">
        <v>4334</v>
      </c>
      <c r="E1579" s="656">
        <v>41453</v>
      </c>
      <c r="F1579" s="656"/>
      <c r="G1579" s="654" t="s">
        <v>4333</v>
      </c>
      <c r="H1579" s="654"/>
      <c r="I1579" s="31"/>
      <c r="J1579" s="1233"/>
      <c r="K1579" s="31"/>
      <c r="L1579" s="21">
        <v>8200</v>
      </c>
      <c r="M1579" s="21"/>
      <c r="N1579" s="21">
        <f t="shared" si="241"/>
        <v>8200</v>
      </c>
      <c r="O1579" s="283"/>
      <c r="P1579" s="647" t="s">
        <v>110</v>
      </c>
      <c r="Q1579" s="1136" t="s">
        <v>105</v>
      </c>
      <c r="R1579" s="963">
        <v>8200</v>
      </c>
      <c r="S1579" s="963">
        <v>8200</v>
      </c>
      <c r="T1579" s="961"/>
      <c r="U1579" s="654"/>
      <c r="V1579" s="523" t="s">
        <v>307</v>
      </c>
    </row>
    <row r="1580" spans="2:22" ht="30">
      <c r="B1580" s="653" t="s">
        <v>343</v>
      </c>
      <c r="C1580" s="653"/>
      <c r="D1580" s="658" t="s">
        <v>4335</v>
      </c>
      <c r="E1580" s="656">
        <v>41457</v>
      </c>
      <c r="F1580" s="656"/>
      <c r="G1580" s="654" t="s">
        <v>2255</v>
      </c>
      <c r="H1580" s="654"/>
      <c r="I1580" s="31"/>
      <c r="J1580" s="1233"/>
      <c r="K1580" s="31"/>
      <c r="L1580" s="21">
        <v>6250</v>
      </c>
      <c r="M1580" s="21"/>
      <c r="N1580" s="21">
        <f t="shared" si="241"/>
        <v>6250</v>
      </c>
      <c r="O1580" s="283"/>
      <c r="P1580" s="647" t="s">
        <v>110</v>
      </c>
      <c r="Q1580" s="1136" t="s">
        <v>105</v>
      </c>
      <c r="R1580" s="963">
        <v>6250</v>
      </c>
      <c r="S1580" s="963">
        <v>6250</v>
      </c>
      <c r="T1580" s="961"/>
      <c r="U1580" s="654"/>
      <c r="V1580" s="523" t="s">
        <v>307</v>
      </c>
    </row>
    <row r="1581" spans="2:22" ht="30">
      <c r="B1581" s="653" t="s">
        <v>308</v>
      </c>
      <c r="C1581" s="653"/>
      <c r="D1581" s="658" t="s">
        <v>4337</v>
      </c>
      <c r="E1581" s="656">
        <v>41463</v>
      </c>
      <c r="F1581" s="656"/>
      <c r="G1581" s="660" t="s">
        <v>4336</v>
      </c>
      <c r="H1581" s="281"/>
      <c r="I1581" s="31"/>
      <c r="J1581" s="1233"/>
      <c r="K1581" s="31"/>
      <c r="L1581" s="21">
        <v>-5000</v>
      </c>
      <c r="M1581" s="21"/>
      <c r="N1581" s="21">
        <f t="shared" si="241"/>
        <v>-5000</v>
      </c>
      <c r="O1581" s="283"/>
      <c r="P1581" s="647" t="s">
        <v>110</v>
      </c>
      <c r="Q1581" s="1136" t="s">
        <v>105</v>
      </c>
      <c r="R1581" s="963"/>
      <c r="S1581" s="963"/>
      <c r="T1581" s="961"/>
      <c r="U1581" s="654"/>
      <c r="V1581" s="523"/>
    </row>
    <row r="1582" spans="2:22" ht="30">
      <c r="B1582" s="653" t="s">
        <v>331</v>
      </c>
      <c r="C1582" s="653"/>
      <c r="D1582" s="658" t="s">
        <v>4338</v>
      </c>
      <c r="E1582" s="656">
        <v>41464</v>
      </c>
      <c r="F1582" s="656"/>
      <c r="G1582" s="654" t="s">
        <v>1893</v>
      </c>
      <c r="H1582" s="654"/>
      <c r="I1582" s="31"/>
      <c r="J1582" s="1233"/>
      <c r="K1582" s="31"/>
      <c r="L1582" s="21">
        <v>1000</v>
      </c>
      <c r="M1582" s="21"/>
      <c r="N1582" s="21">
        <f t="shared" si="241"/>
        <v>1000</v>
      </c>
      <c r="O1582" s="283"/>
      <c r="P1582" s="647" t="s">
        <v>110</v>
      </c>
      <c r="Q1582" s="1136" t="s">
        <v>105</v>
      </c>
      <c r="R1582" s="963">
        <v>1000</v>
      </c>
      <c r="S1582" s="963">
        <v>1000</v>
      </c>
      <c r="T1582" s="961"/>
      <c r="U1582" s="654"/>
      <c r="V1582" s="523" t="s">
        <v>307</v>
      </c>
    </row>
    <row r="1583" spans="2:22" ht="30">
      <c r="B1583" s="653" t="s">
        <v>321</v>
      </c>
      <c r="C1583" s="653"/>
      <c r="D1583" s="658" t="s">
        <v>4339</v>
      </c>
      <c r="E1583" s="656">
        <v>41464</v>
      </c>
      <c r="F1583" s="656"/>
      <c r="G1583" s="654" t="s">
        <v>315</v>
      </c>
      <c r="H1583" s="654"/>
      <c r="I1583" s="31"/>
      <c r="J1583" s="1233"/>
      <c r="K1583" s="31"/>
      <c r="L1583" s="21">
        <v>10000</v>
      </c>
      <c r="M1583" s="21"/>
      <c r="N1583" s="21">
        <f t="shared" si="241"/>
        <v>10000</v>
      </c>
      <c r="O1583" s="283"/>
      <c r="P1583" s="647" t="s">
        <v>110</v>
      </c>
      <c r="Q1583" s="1136" t="s">
        <v>105</v>
      </c>
      <c r="R1583" s="963">
        <v>10000</v>
      </c>
      <c r="S1583" s="963">
        <v>10000</v>
      </c>
      <c r="T1583" s="961"/>
      <c r="U1583" s="654"/>
      <c r="V1583" s="523" t="s">
        <v>307</v>
      </c>
    </row>
    <row r="1584" spans="2:22">
      <c r="B1584" s="1095" t="s">
        <v>6534</v>
      </c>
      <c r="C1584" s="653"/>
      <c r="D1584" s="658"/>
      <c r="E1584" s="656"/>
      <c r="F1584" s="656"/>
      <c r="G1584" s="654"/>
      <c r="H1584" s="654"/>
      <c r="I1584" s="31"/>
      <c r="J1584" s="1233"/>
      <c r="K1584" s="31"/>
      <c r="L1584" s="21"/>
      <c r="M1584" s="21"/>
      <c r="N1584" s="21"/>
      <c r="O1584" s="283"/>
      <c r="P1584" s="647"/>
      <c r="Q1584" s="1136"/>
      <c r="R1584" s="963"/>
      <c r="S1584" s="963"/>
      <c r="T1584" s="961"/>
      <c r="U1584" s="654"/>
      <c r="V1584" s="523"/>
    </row>
    <row r="1585" spans="2:22">
      <c r="B1585" s="1091" t="s">
        <v>6535</v>
      </c>
      <c r="C1585" s="653"/>
      <c r="D1585" s="658"/>
      <c r="E1585" s="656"/>
      <c r="F1585" s="656"/>
      <c r="G1585" s="654"/>
      <c r="H1585" s="654"/>
      <c r="I1585" s="31"/>
      <c r="J1585" s="1233"/>
      <c r="K1585" s="31"/>
      <c r="L1585" s="21"/>
      <c r="M1585" s="21"/>
      <c r="N1585" s="21"/>
      <c r="O1585" s="283"/>
      <c r="P1585" s="647"/>
      <c r="Q1585" s="1136"/>
      <c r="R1585" s="963"/>
      <c r="S1585" s="963"/>
      <c r="T1585" s="961"/>
      <c r="U1585" s="654"/>
      <c r="V1585" s="523"/>
    </row>
    <row r="1586" spans="2:22">
      <c r="B1586" s="1091" t="s">
        <v>6536</v>
      </c>
      <c r="C1586" s="653"/>
      <c r="D1586" s="658"/>
      <c r="E1586" s="656"/>
      <c r="F1586" s="656"/>
      <c r="G1586" s="654"/>
      <c r="H1586" s="654"/>
      <c r="I1586" s="31"/>
      <c r="J1586" s="1233"/>
      <c r="K1586" s="31"/>
      <c r="L1586" s="21"/>
      <c r="M1586" s="21"/>
      <c r="N1586" s="21"/>
      <c r="O1586" s="283"/>
      <c r="P1586" s="647"/>
      <c r="Q1586" s="1136"/>
      <c r="R1586" s="963"/>
      <c r="S1586" s="963"/>
      <c r="T1586" s="961"/>
      <c r="U1586" s="654"/>
      <c r="V1586" s="523"/>
    </row>
    <row r="1587" spans="2:22">
      <c r="B1587" s="1091" t="s">
        <v>6537</v>
      </c>
      <c r="C1587" s="653"/>
      <c r="D1587" s="658"/>
      <c r="E1587" s="656"/>
      <c r="F1587" s="656"/>
      <c r="G1587" s="654"/>
      <c r="H1587" s="654"/>
      <c r="I1587" s="31"/>
      <c r="J1587" s="1233"/>
      <c r="K1587" s="31"/>
      <c r="L1587" s="21"/>
      <c r="M1587" s="21"/>
      <c r="N1587" s="21"/>
      <c r="O1587" s="283"/>
      <c r="P1587" s="647"/>
      <c r="Q1587" s="1136"/>
      <c r="R1587" s="963"/>
      <c r="S1587" s="963"/>
      <c r="T1587" s="961"/>
      <c r="U1587" s="654"/>
      <c r="V1587" s="523"/>
    </row>
    <row r="1588" spans="2:22">
      <c r="B1588" s="653"/>
      <c r="C1588" s="653"/>
      <c r="D1588" s="658"/>
      <c r="E1588" s="656"/>
      <c r="F1588" s="656"/>
      <c r="G1588" s="654"/>
      <c r="H1588" s="654"/>
      <c r="I1588" s="31"/>
      <c r="J1588" s="1233"/>
      <c r="K1588" s="31"/>
      <c r="L1588" s="21"/>
      <c r="M1588" s="21"/>
      <c r="N1588" s="21"/>
      <c r="O1588" s="283"/>
      <c r="P1588" s="647"/>
      <c r="Q1588" s="1136"/>
      <c r="R1588" s="963"/>
      <c r="S1588" s="963"/>
      <c r="T1588" s="961"/>
      <c r="U1588" s="654"/>
      <c r="V1588" s="523"/>
    </row>
    <row r="1589" spans="2:22" ht="30">
      <c r="B1589" s="653" t="s">
        <v>314</v>
      </c>
      <c r="C1589" s="653"/>
      <c r="D1589" s="658" t="s">
        <v>4341</v>
      </c>
      <c r="E1589" s="656">
        <v>41472</v>
      </c>
      <c r="F1589" s="656"/>
      <c r="G1589" s="654" t="s">
        <v>4340</v>
      </c>
      <c r="H1589" s="654"/>
      <c r="I1589" s="31"/>
      <c r="J1589" s="1233"/>
      <c r="K1589" s="31"/>
      <c r="L1589" s="21">
        <v>10000</v>
      </c>
      <c r="M1589" s="21"/>
      <c r="N1589" s="21">
        <f t="shared" si="241"/>
        <v>10000</v>
      </c>
      <c r="O1589" s="283"/>
      <c r="P1589" s="647" t="s">
        <v>110</v>
      </c>
      <c r="Q1589" s="1136" t="s">
        <v>105</v>
      </c>
      <c r="R1589" s="963">
        <v>10000</v>
      </c>
      <c r="S1589" s="963">
        <v>10000</v>
      </c>
      <c r="T1589" s="961"/>
      <c r="U1589" s="654"/>
      <c r="V1589" s="523" t="s">
        <v>307</v>
      </c>
    </row>
    <row r="1590" spans="2:22" ht="30">
      <c r="B1590" s="653" t="s">
        <v>337</v>
      </c>
      <c r="C1590" s="653"/>
      <c r="D1590" s="658" t="s">
        <v>4343</v>
      </c>
      <c r="E1590" s="656">
        <v>41471</v>
      </c>
      <c r="F1590" s="656"/>
      <c r="G1590" s="660" t="s">
        <v>4342</v>
      </c>
      <c r="H1590" s="654"/>
      <c r="I1590" s="31"/>
      <c r="J1590" s="1233"/>
      <c r="K1590" s="31"/>
      <c r="L1590" s="21">
        <v>-5000</v>
      </c>
      <c r="M1590" s="21"/>
      <c r="N1590" s="21">
        <f t="shared" si="241"/>
        <v>-5000</v>
      </c>
      <c r="O1590" s="283"/>
      <c r="P1590" s="647" t="s">
        <v>110</v>
      </c>
      <c r="Q1590" s="1136" t="s">
        <v>105</v>
      </c>
      <c r="R1590" s="963">
        <v>-5000</v>
      </c>
      <c r="S1590" s="963">
        <v>-5000</v>
      </c>
      <c r="T1590" s="961"/>
      <c r="U1590" s="654"/>
      <c r="V1590" s="523" t="s">
        <v>307</v>
      </c>
    </row>
    <row r="1591" spans="2:22" ht="30">
      <c r="B1591" s="653" t="s">
        <v>2651</v>
      </c>
      <c r="C1591" s="653"/>
      <c r="D1591" s="658" t="s">
        <v>4345</v>
      </c>
      <c r="E1591" s="656">
        <v>41471</v>
      </c>
      <c r="F1591" s="656"/>
      <c r="G1591" s="654" t="s">
        <v>4344</v>
      </c>
      <c r="H1591" s="654"/>
      <c r="I1591" s="31"/>
      <c r="J1591" s="1233"/>
      <c r="K1591" s="31"/>
      <c r="L1591" s="21">
        <v>5000</v>
      </c>
      <c r="M1591" s="21"/>
      <c r="N1591" s="21">
        <f t="shared" si="241"/>
        <v>5000</v>
      </c>
      <c r="O1591" s="283"/>
      <c r="P1591" s="647" t="s">
        <v>110</v>
      </c>
      <c r="Q1591" s="1136" t="s">
        <v>105</v>
      </c>
      <c r="R1591" s="963">
        <v>5000</v>
      </c>
      <c r="S1591" s="963">
        <v>5000</v>
      </c>
      <c r="T1591" s="961"/>
      <c r="U1591" s="654"/>
      <c r="V1591" s="523" t="s">
        <v>307</v>
      </c>
    </row>
    <row r="1592" spans="2:22" ht="30">
      <c r="B1592" s="653" t="s">
        <v>308</v>
      </c>
      <c r="C1592" s="653"/>
      <c r="D1592" s="658" t="s">
        <v>4347</v>
      </c>
      <c r="E1592" s="656">
        <v>41472</v>
      </c>
      <c r="F1592" s="656"/>
      <c r="G1592" s="660" t="s">
        <v>4346</v>
      </c>
      <c r="H1592" s="654"/>
      <c r="I1592" s="31"/>
      <c r="J1592" s="1233"/>
      <c r="K1592" s="31"/>
      <c r="L1592" s="21">
        <v>-500</v>
      </c>
      <c r="M1592" s="21"/>
      <c r="N1592" s="21">
        <f t="shared" si="241"/>
        <v>-500</v>
      </c>
      <c r="O1592" s="283"/>
      <c r="P1592" s="647" t="s">
        <v>110</v>
      </c>
      <c r="Q1592" s="1136" t="s">
        <v>105</v>
      </c>
      <c r="R1592" s="963"/>
      <c r="S1592" s="963"/>
      <c r="T1592" s="961"/>
      <c r="U1592" s="654"/>
      <c r="V1592" s="523"/>
    </row>
    <row r="1593" spans="2:22" ht="30">
      <c r="B1593" s="653" t="s">
        <v>331</v>
      </c>
      <c r="C1593" s="653"/>
      <c r="D1593" s="658" t="s">
        <v>4349</v>
      </c>
      <c r="E1593" s="656">
        <v>41477</v>
      </c>
      <c r="F1593" s="656"/>
      <c r="G1593" s="654" t="s">
        <v>4348</v>
      </c>
      <c r="H1593" s="654"/>
      <c r="I1593" s="31"/>
      <c r="J1593" s="1233"/>
      <c r="K1593" s="31"/>
      <c r="L1593" s="21">
        <v>500</v>
      </c>
      <c r="M1593" s="21"/>
      <c r="N1593" s="21">
        <f t="shared" si="241"/>
        <v>500</v>
      </c>
      <c r="O1593" s="283"/>
      <c r="P1593" s="647" t="s">
        <v>110</v>
      </c>
      <c r="Q1593" s="1136" t="s">
        <v>105</v>
      </c>
      <c r="R1593" s="963">
        <v>500</v>
      </c>
      <c r="S1593" s="963">
        <v>500</v>
      </c>
      <c r="T1593" s="961"/>
      <c r="U1593" s="654"/>
      <c r="V1593" s="523" t="s">
        <v>307</v>
      </c>
    </row>
    <row r="1594" spans="2:22" ht="30">
      <c r="B1594" s="653" t="s">
        <v>331</v>
      </c>
      <c r="C1594" s="653"/>
      <c r="D1594" s="658" t="s">
        <v>4350</v>
      </c>
      <c r="E1594" s="656">
        <v>41477</v>
      </c>
      <c r="F1594" s="656"/>
      <c r="G1594" s="654" t="s">
        <v>3532</v>
      </c>
      <c r="H1594" s="654"/>
      <c r="I1594" s="31"/>
      <c r="J1594" s="1233"/>
      <c r="K1594" s="31"/>
      <c r="L1594" s="21">
        <v>20000</v>
      </c>
      <c r="M1594" s="21"/>
      <c r="N1594" s="21">
        <f t="shared" si="241"/>
        <v>20000</v>
      </c>
      <c r="O1594" s="283"/>
      <c r="P1594" s="647" t="s">
        <v>110</v>
      </c>
      <c r="Q1594" s="1136" t="s">
        <v>105</v>
      </c>
      <c r="R1594" s="963">
        <v>20000</v>
      </c>
      <c r="S1594" s="963">
        <v>20000</v>
      </c>
      <c r="T1594" s="961"/>
      <c r="U1594" s="654"/>
      <c r="V1594" s="523" t="s">
        <v>307</v>
      </c>
    </row>
    <row r="1595" spans="2:22" ht="30">
      <c r="B1595" s="653" t="s">
        <v>349</v>
      </c>
      <c r="C1595" s="653"/>
      <c r="D1595" s="658" t="s">
        <v>4352</v>
      </c>
      <c r="E1595" s="656">
        <v>41477</v>
      </c>
      <c r="F1595" s="656"/>
      <c r="G1595" s="654" t="s">
        <v>4351</v>
      </c>
      <c r="H1595" s="654"/>
      <c r="I1595" s="31"/>
      <c r="J1595" s="1233"/>
      <c r="K1595" s="31"/>
      <c r="L1595" s="21">
        <v>1000</v>
      </c>
      <c r="M1595" s="21"/>
      <c r="N1595" s="21">
        <f t="shared" si="241"/>
        <v>1000</v>
      </c>
      <c r="O1595" s="283"/>
      <c r="P1595" s="647" t="s">
        <v>110</v>
      </c>
      <c r="Q1595" s="1136" t="s">
        <v>105</v>
      </c>
      <c r="R1595" s="963">
        <v>1000</v>
      </c>
      <c r="S1595" s="963">
        <v>1000</v>
      </c>
      <c r="T1595" s="961"/>
      <c r="U1595" s="654"/>
      <c r="V1595" s="523" t="s">
        <v>307</v>
      </c>
    </row>
    <row r="1596" spans="2:22" ht="30">
      <c r="B1596" s="653" t="s">
        <v>311</v>
      </c>
      <c r="C1596" s="653"/>
      <c r="D1596" s="658" t="s">
        <v>4354</v>
      </c>
      <c r="E1596" s="656">
        <v>41477</v>
      </c>
      <c r="F1596" s="656"/>
      <c r="G1596" s="654" t="s">
        <v>4353</v>
      </c>
      <c r="H1596" s="654"/>
      <c r="I1596" s="31"/>
      <c r="J1596" s="1233"/>
      <c r="K1596" s="31"/>
      <c r="L1596" s="21">
        <v>2500</v>
      </c>
      <c r="M1596" s="21"/>
      <c r="N1596" s="21">
        <f t="shared" si="241"/>
        <v>2500</v>
      </c>
      <c r="O1596" s="283"/>
      <c r="P1596" s="647" t="s">
        <v>110</v>
      </c>
      <c r="Q1596" s="1136" t="s">
        <v>105</v>
      </c>
      <c r="R1596" s="963">
        <v>2500</v>
      </c>
      <c r="S1596" s="963">
        <v>2500</v>
      </c>
      <c r="T1596" s="961"/>
      <c r="U1596" s="654"/>
      <c r="V1596" s="523" t="s">
        <v>307</v>
      </c>
    </row>
    <row r="1597" spans="2:22" ht="30">
      <c r="B1597" s="653" t="s">
        <v>314</v>
      </c>
      <c r="C1597" s="653"/>
      <c r="D1597" s="658" t="s">
        <v>23</v>
      </c>
      <c r="E1597" s="656">
        <v>41477</v>
      </c>
      <c r="F1597" s="656"/>
      <c r="G1597" s="654" t="s">
        <v>4355</v>
      </c>
      <c r="H1597" s="654"/>
      <c r="I1597" s="31"/>
      <c r="J1597" s="1233"/>
      <c r="K1597" s="31"/>
      <c r="L1597" s="21">
        <v>5000</v>
      </c>
      <c r="M1597" s="21"/>
      <c r="N1597" s="21">
        <f t="shared" si="241"/>
        <v>5000</v>
      </c>
      <c r="O1597" s="283"/>
      <c r="P1597" s="647" t="s">
        <v>110</v>
      </c>
      <c r="Q1597" s="1136" t="s">
        <v>105</v>
      </c>
      <c r="R1597" s="963">
        <v>5000</v>
      </c>
      <c r="S1597" s="963">
        <v>5000</v>
      </c>
      <c r="T1597" s="961"/>
      <c r="U1597" s="654"/>
      <c r="V1597" s="523" t="s">
        <v>307</v>
      </c>
    </row>
    <row r="1598" spans="2:22" ht="30">
      <c r="B1598" s="653" t="s">
        <v>343</v>
      </c>
      <c r="C1598" s="653"/>
      <c r="D1598" s="658" t="s">
        <v>24</v>
      </c>
      <c r="E1598" s="656">
        <v>41477</v>
      </c>
      <c r="F1598" s="656"/>
      <c r="G1598" s="654" t="s">
        <v>4356</v>
      </c>
      <c r="H1598" s="654"/>
      <c r="I1598" s="31"/>
      <c r="J1598" s="1233"/>
      <c r="K1598" s="31"/>
      <c r="L1598" s="21">
        <v>2000</v>
      </c>
      <c r="M1598" s="21"/>
      <c r="N1598" s="21">
        <f t="shared" si="241"/>
        <v>2000</v>
      </c>
      <c r="O1598" s="283"/>
      <c r="P1598" s="647" t="s">
        <v>110</v>
      </c>
      <c r="Q1598" s="1136" t="s">
        <v>105</v>
      </c>
      <c r="R1598" s="963">
        <v>2000</v>
      </c>
      <c r="S1598" s="963">
        <v>2000</v>
      </c>
      <c r="T1598" s="961"/>
      <c r="U1598" s="654"/>
      <c r="V1598" s="523" t="s">
        <v>307</v>
      </c>
    </row>
    <row r="1599" spans="2:22" ht="30">
      <c r="B1599" s="653" t="s">
        <v>2651</v>
      </c>
      <c r="C1599" s="653"/>
      <c r="D1599" s="658" t="s">
        <v>4358</v>
      </c>
      <c r="E1599" s="656">
        <v>41487</v>
      </c>
      <c r="F1599" s="656"/>
      <c r="G1599" s="663" t="s">
        <v>4357</v>
      </c>
      <c r="H1599" s="654"/>
      <c r="I1599" s="31"/>
      <c r="J1599" s="1233"/>
      <c r="K1599" s="31"/>
      <c r="L1599" s="21">
        <f>-500000+500000</f>
        <v>0</v>
      </c>
      <c r="M1599" s="21"/>
      <c r="N1599" s="21">
        <f t="shared" si="241"/>
        <v>0</v>
      </c>
      <c r="O1599" s="283"/>
      <c r="P1599" s="647" t="s">
        <v>110</v>
      </c>
      <c r="Q1599" s="1136" t="s">
        <v>105</v>
      </c>
      <c r="R1599" s="968">
        <v>0</v>
      </c>
      <c r="S1599" s="968">
        <v>0</v>
      </c>
      <c r="T1599" s="965" t="s">
        <v>4654</v>
      </c>
      <c r="U1599" s="654"/>
      <c r="V1599" s="523" t="s">
        <v>307</v>
      </c>
    </row>
    <row r="1600" spans="2:22">
      <c r="B1600" s="664"/>
      <c r="C1600" s="664"/>
      <c r="D1600" s="282"/>
      <c r="E1600" s="659"/>
      <c r="F1600" s="659"/>
      <c r="G1600" s="281"/>
      <c r="H1600" s="281"/>
      <c r="L1600" s="283"/>
      <c r="M1600" s="283"/>
      <c r="N1600" s="283"/>
      <c r="O1600" s="283"/>
      <c r="P1600" s="654"/>
      <c r="Q1600" s="21"/>
      <c r="R1600" s="969"/>
      <c r="S1600" s="969"/>
      <c r="T1600" s="962"/>
      <c r="U1600" s="281"/>
      <c r="V1600" s="288"/>
    </row>
    <row r="1601" spans="2:22">
      <c r="B1601" s="664"/>
      <c r="C1601" s="664"/>
      <c r="D1601" s="282"/>
      <c r="E1601" s="659"/>
      <c r="F1601" s="659"/>
      <c r="G1601" s="281"/>
      <c r="H1601" s="281"/>
      <c r="K1601" s="1199"/>
      <c r="L1601" s="284">
        <f>SUM(L1602:L1609)</f>
        <v>20500</v>
      </c>
      <c r="M1601" s="665"/>
      <c r="N1601" s="284">
        <f>SUM(N1602:N1609)</f>
        <v>20500</v>
      </c>
      <c r="O1601" s="283"/>
      <c r="P1601" s="654"/>
      <c r="Q1601" s="21"/>
      <c r="R1601" s="284">
        <f t="shared" ref="R1601:S1601" si="242">SUM(R1602:R1609)</f>
        <v>20500</v>
      </c>
      <c r="S1601" s="284">
        <f t="shared" si="242"/>
        <v>20500</v>
      </c>
      <c r="T1601" s="962"/>
      <c r="U1601" s="281"/>
      <c r="V1601" s="288"/>
    </row>
    <row r="1602" spans="2:22" ht="30">
      <c r="B1602" s="646" t="s">
        <v>321</v>
      </c>
      <c r="C1602" s="646"/>
      <c r="D1602" s="108" t="s">
        <v>4359</v>
      </c>
      <c r="E1602" s="527">
        <v>41110</v>
      </c>
      <c r="F1602" s="527"/>
      <c r="G1602" s="525" t="s">
        <v>315</v>
      </c>
      <c r="H1602" s="525"/>
      <c r="I1602" s="31"/>
      <c r="J1602" s="1233"/>
      <c r="K1602" s="31"/>
      <c r="L1602" s="21">
        <v>10000</v>
      </c>
      <c r="M1602" s="21"/>
      <c r="N1602" s="21">
        <f>SUM(L1602:M1602)</f>
        <v>10000</v>
      </c>
      <c r="O1602" s="283"/>
      <c r="P1602" s="647" t="s">
        <v>110</v>
      </c>
      <c r="Q1602" s="1136" t="s">
        <v>105</v>
      </c>
      <c r="R1602" s="963">
        <v>10000</v>
      </c>
      <c r="S1602" s="963">
        <v>10000</v>
      </c>
      <c r="T1602" s="666"/>
      <c r="U1602" s="666"/>
      <c r="V1602" s="523" t="s">
        <v>307</v>
      </c>
    </row>
    <row r="1603" spans="2:22">
      <c r="B1603" s="1085" t="s">
        <v>6538</v>
      </c>
      <c r="C1603" s="646"/>
      <c r="D1603" s="108"/>
      <c r="E1603" s="527"/>
      <c r="F1603" s="527"/>
      <c r="G1603" s="525"/>
      <c r="H1603" s="525"/>
      <c r="I1603" s="31"/>
      <c r="J1603" s="1233"/>
      <c r="K1603" s="31"/>
      <c r="L1603" s="21"/>
      <c r="M1603" s="21"/>
      <c r="N1603" s="21"/>
      <c r="O1603" s="283"/>
      <c r="P1603" s="647"/>
      <c r="Q1603" s="1136"/>
      <c r="R1603" s="963"/>
      <c r="S1603" s="963"/>
      <c r="T1603" s="654" t="s">
        <v>6542</v>
      </c>
      <c r="U1603" s="666"/>
      <c r="V1603" s="523"/>
    </row>
    <row r="1604" spans="2:22">
      <c r="B1604" s="1085" t="s">
        <v>6539</v>
      </c>
      <c r="C1604" s="646"/>
      <c r="D1604" s="108"/>
      <c r="E1604" s="527"/>
      <c r="F1604" s="527"/>
      <c r="G1604" s="525"/>
      <c r="H1604" s="525"/>
      <c r="I1604" s="31"/>
      <c r="J1604" s="1233"/>
      <c r="K1604" s="31"/>
      <c r="L1604" s="21"/>
      <c r="M1604" s="21"/>
      <c r="N1604" s="21"/>
      <c r="O1604" s="283"/>
      <c r="P1604" s="647"/>
      <c r="Q1604" s="1136"/>
      <c r="R1604" s="963"/>
      <c r="S1604" s="963"/>
      <c r="T1604" s="654"/>
      <c r="U1604" s="666"/>
      <c r="V1604" s="523"/>
    </row>
    <row r="1605" spans="2:22" ht="30">
      <c r="B1605" s="1085" t="s">
        <v>6540</v>
      </c>
      <c r="C1605" s="646"/>
      <c r="D1605" s="108"/>
      <c r="E1605" s="527"/>
      <c r="F1605" s="527"/>
      <c r="G1605" s="525"/>
      <c r="H1605" s="525"/>
      <c r="I1605" s="31"/>
      <c r="J1605" s="1233"/>
      <c r="K1605" s="31"/>
      <c r="L1605" s="21"/>
      <c r="M1605" s="21"/>
      <c r="N1605" s="21"/>
      <c r="O1605" s="283"/>
      <c r="P1605" s="647"/>
      <c r="Q1605" s="1136"/>
      <c r="R1605" s="963"/>
      <c r="S1605" s="963"/>
      <c r="T1605" s="660" t="s">
        <v>6543</v>
      </c>
      <c r="U1605" s="666"/>
      <c r="V1605" s="523"/>
    </row>
    <row r="1606" spans="2:22">
      <c r="B1606" s="1085" t="s">
        <v>6541</v>
      </c>
      <c r="C1606" s="646"/>
      <c r="D1606" s="108"/>
      <c r="E1606" s="527"/>
      <c r="F1606" s="527"/>
      <c r="G1606" s="525"/>
      <c r="H1606" s="525"/>
      <c r="I1606" s="31"/>
      <c r="J1606" s="1233"/>
      <c r="K1606" s="31"/>
      <c r="L1606" s="21"/>
      <c r="M1606" s="21"/>
      <c r="N1606" s="21"/>
      <c r="O1606" s="283"/>
      <c r="P1606" s="647"/>
      <c r="Q1606" s="1136"/>
      <c r="R1606" s="963"/>
      <c r="S1606" s="963"/>
      <c r="T1606" s="1168" t="s">
        <v>6544</v>
      </c>
      <c r="U1606" s="666"/>
      <c r="V1606" s="523"/>
    </row>
    <row r="1607" spans="2:22">
      <c r="B1607" s="646"/>
      <c r="C1607" s="646"/>
      <c r="D1607" s="108"/>
      <c r="E1607" s="527"/>
      <c r="F1607" s="527"/>
      <c r="G1607" s="525"/>
      <c r="H1607" s="525"/>
      <c r="I1607" s="31"/>
      <c r="J1607" s="1233"/>
      <c r="K1607" s="31"/>
      <c r="L1607" s="21"/>
      <c r="M1607" s="21"/>
      <c r="N1607" s="21"/>
      <c r="O1607" s="283"/>
      <c r="P1607" s="647"/>
      <c r="Q1607" s="1136"/>
      <c r="R1607" s="963"/>
      <c r="S1607" s="963"/>
      <c r="T1607" s="970"/>
      <c r="U1607" s="666"/>
      <c r="V1607" s="523"/>
    </row>
    <row r="1608" spans="2:22" ht="30">
      <c r="B1608" s="646" t="s">
        <v>314</v>
      </c>
      <c r="C1608" s="646"/>
      <c r="D1608" s="108" t="s">
        <v>4360</v>
      </c>
      <c r="E1608" s="527">
        <v>41110</v>
      </c>
      <c r="F1608" s="527"/>
      <c r="G1608" s="525" t="s">
        <v>3493</v>
      </c>
      <c r="H1608" s="525"/>
      <c r="I1608" s="31"/>
      <c r="J1608" s="1233"/>
      <c r="K1608" s="31"/>
      <c r="L1608" s="21">
        <v>10000</v>
      </c>
      <c r="M1608" s="21"/>
      <c r="N1608" s="21">
        <f>SUM(L1608:M1608)</f>
        <v>10000</v>
      </c>
      <c r="O1608" s="283"/>
      <c r="P1608" s="647" t="s">
        <v>110</v>
      </c>
      <c r="Q1608" s="1136" t="s">
        <v>105</v>
      </c>
      <c r="R1608" s="963">
        <v>10000</v>
      </c>
      <c r="S1608" s="963">
        <v>10000</v>
      </c>
      <c r="T1608" s="970"/>
      <c r="U1608" s="666"/>
      <c r="V1608" s="523" t="s">
        <v>307</v>
      </c>
    </row>
    <row r="1609" spans="2:22" ht="30">
      <c r="B1609" s="646" t="s">
        <v>343</v>
      </c>
      <c r="C1609" s="646"/>
      <c r="D1609" s="108" t="s">
        <v>4362</v>
      </c>
      <c r="E1609" s="527">
        <v>41110</v>
      </c>
      <c r="F1609" s="527"/>
      <c r="G1609" s="525" t="s">
        <v>4361</v>
      </c>
      <c r="H1609" s="525"/>
      <c r="I1609" s="31"/>
      <c r="J1609" s="1233"/>
      <c r="K1609" s="31"/>
      <c r="L1609" s="21">
        <v>500</v>
      </c>
      <c r="M1609" s="21"/>
      <c r="N1609" s="21">
        <f>SUM(L1609:M1609)</f>
        <v>500</v>
      </c>
      <c r="O1609" s="283"/>
      <c r="P1609" s="647" t="s">
        <v>110</v>
      </c>
      <c r="Q1609" s="1136" t="s">
        <v>105</v>
      </c>
      <c r="R1609" s="963">
        <v>500</v>
      </c>
      <c r="S1609" s="963">
        <v>500</v>
      </c>
      <c r="T1609" s="970"/>
      <c r="U1609" s="666"/>
      <c r="V1609" s="523" t="s">
        <v>307</v>
      </c>
    </row>
    <row r="1611" spans="2:22">
      <c r="B1611" s="1206" t="s">
        <v>71</v>
      </c>
      <c r="C1611" s="1206"/>
      <c r="K1611" s="1204"/>
      <c r="L1611" s="479">
        <f>L1612+L1620+L1647+L1657+L1680</f>
        <v>76695</v>
      </c>
      <c r="M1611" s="479"/>
      <c r="N1611" s="479">
        <f>N1612+N1620+N1647+N1657+N1680</f>
        <v>76695</v>
      </c>
      <c r="R1611" s="479">
        <f t="shared" ref="R1611:S1611" si="243">R1612+R1620+R1647+R1657+R1680</f>
        <v>26075</v>
      </c>
      <c r="S1611" s="479">
        <f t="shared" si="243"/>
        <v>21124.260000000002</v>
      </c>
    </row>
    <row r="1612" spans="2:22">
      <c r="B1612" s="1207" t="s">
        <v>427</v>
      </c>
      <c r="C1612" s="1207"/>
      <c r="D1612" s="1126"/>
      <c r="E1612" s="361"/>
      <c r="F1612" s="361"/>
      <c r="G1612" s="212"/>
      <c r="H1612" s="360"/>
      <c r="I1612" s="93">
        <v>157560</v>
      </c>
      <c r="J1612" s="667"/>
      <c r="K1612" s="1199"/>
      <c r="L1612" s="7">
        <f>SUM(L1613:L1619)</f>
        <v>2750</v>
      </c>
      <c r="M1612" s="7"/>
      <c r="N1612" s="7">
        <f>SUM(N1613:N1619)</f>
        <v>2750</v>
      </c>
      <c r="O1612" s="6">
        <f>N1612+I1612</f>
        <v>160310</v>
      </c>
      <c r="Q1612" s="6"/>
      <c r="R1612" s="7">
        <f t="shared" ref="R1612:S1612" si="244">SUM(R1613:R1619)</f>
        <v>0</v>
      </c>
      <c r="S1612" s="7">
        <f t="shared" si="244"/>
        <v>0</v>
      </c>
    </row>
    <row r="1613" spans="2:22" ht="75">
      <c r="B1613" s="668" t="s">
        <v>428</v>
      </c>
      <c r="C1613" s="668"/>
      <c r="D1613" s="77" t="s">
        <v>4363</v>
      </c>
      <c r="E1613" s="419">
        <v>41127</v>
      </c>
      <c r="F1613" s="419" t="s">
        <v>4965</v>
      </c>
      <c r="G1613" s="1103" t="s">
        <v>5668</v>
      </c>
      <c r="H1613" s="1103"/>
      <c r="I1613" s="105"/>
      <c r="J1613" s="630"/>
      <c r="L1613" s="186">
        <v>50</v>
      </c>
      <c r="M1613" s="582"/>
      <c r="N1613" s="203">
        <f t="shared" ref="N1613:N1618" si="245">SUM(K1613:M1613)</f>
        <v>50</v>
      </c>
      <c r="O1613" s="292"/>
      <c r="P1613" s="647" t="s">
        <v>110</v>
      </c>
      <c r="Q1613" s="1136" t="s">
        <v>105</v>
      </c>
      <c r="T1613" s="1115">
        <f>17+9</f>
        <v>26</v>
      </c>
      <c r="V1613" s="31" t="s">
        <v>430</v>
      </c>
    </row>
    <row r="1614" spans="2:22" ht="75">
      <c r="B1614" s="668" t="s">
        <v>428</v>
      </c>
      <c r="C1614" s="668"/>
      <c r="D1614" s="77" t="s">
        <v>4364</v>
      </c>
      <c r="E1614" s="419">
        <v>41145</v>
      </c>
      <c r="F1614" s="419" t="s">
        <v>4965</v>
      </c>
      <c r="G1614" s="1103" t="s">
        <v>5668</v>
      </c>
      <c r="H1614" s="1103"/>
      <c r="I1614" s="211"/>
      <c r="J1614" s="609"/>
      <c r="L1614" s="186">
        <v>200</v>
      </c>
      <c r="M1614" s="77"/>
      <c r="N1614" s="203">
        <f t="shared" si="245"/>
        <v>200</v>
      </c>
      <c r="O1614" s="77"/>
      <c r="P1614" s="647" t="s">
        <v>110</v>
      </c>
      <c r="Q1614" s="1136" t="s">
        <v>105</v>
      </c>
      <c r="T1614" s="1115">
        <v>11</v>
      </c>
      <c r="V1614" s="31" t="s">
        <v>430</v>
      </c>
    </row>
    <row r="1615" spans="2:22" ht="75">
      <c r="B1615" s="668" t="s">
        <v>428</v>
      </c>
      <c r="C1615" s="668"/>
      <c r="D1615" s="77" t="s">
        <v>4365</v>
      </c>
      <c r="E1615" s="419">
        <v>41221</v>
      </c>
      <c r="F1615" s="419" t="s">
        <v>4965</v>
      </c>
      <c r="G1615" s="1103" t="s">
        <v>5668</v>
      </c>
      <c r="H1615" s="1103"/>
      <c r="I1615" s="211"/>
      <c r="J1615" s="609"/>
      <c r="L1615" s="186">
        <v>800</v>
      </c>
      <c r="M1615" s="77"/>
      <c r="N1615" s="203">
        <f t="shared" si="245"/>
        <v>800</v>
      </c>
      <c r="O1615" s="77"/>
      <c r="P1615" s="647" t="s">
        <v>110</v>
      </c>
      <c r="Q1615" s="1136" t="s">
        <v>105</v>
      </c>
      <c r="T1615" s="1115">
        <f>680+12</f>
        <v>692</v>
      </c>
      <c r="V1615" s="31" t="s">
        <v>430</v>
      </c>
    </row>
    <row r="1616" spans="2:22" ht="75">
      <c r="B1616" s="668" t="s">
        <v>428</v>
      </c>
      <c r="C1616" s="668"/>
      <c r="D1616" s="77" t="s">
        <v>4366</v>
      </c>
      <c r="E1616" s="419">
        <v>41250</v>
      </c>
      <c r="F1616" s="419" t="s">
        <v>4965</v>
      </c>
      <c r="G1616" s="1103" t="s">
        <v>5668</v>
      </c>
      <c r="H1616" s="1103"/>
      <c r="I1616" s="211"/>
      <c r="J1616" s="609"/>
      <c r="L1616" s="186">
        <v>1000</v>
      </c>
      <c r="M1616" s="77"/>
      <c r="N1616" s="203">
        <f t="shared" si="245"/>
        <v>1000</v>
      </c>
      <c r="O1616" s="77"/>
      <c r="P1616" s="647" t="s">
        <v>110</v>
      </c>
      <c r="Q1616" s="1136" t="s">
        <v>105</v>
      </c>
      <c r="T1616" s="1115">
        <v>210</v>
      </c>
      <c r="V1616" s="31" t="s">
        <v>430</v>
      </c>
    </row>
    <row r="1617" spans="2:22" ht="75">
      <c r="B1617" s="668" t="s">
        <v>428</v>
      </c>
      <c r="C1617" s="668"/>
      <c r="D1617" s="77" t="s">
        <v>4367</v>
      </c>
      <c r="E1617" s="419">
        <v>41255</v>
      </c>
      <c r="F1617" s="419" t="s">
        <v>4965</v>
      </c>
      <c r="G1617" s="1103" t="s">
        <v>5668</v>
      </c>
      <c r="H1617" s="1103"/>
      <c r="I1617" s="211"/>
      <c r="J1617" s="609"/>
      <c r="L1617" s="186">
        <v>200</v>
      </c>
      <c r="M1617" s="77"/>
      <c r="N1617" s="203">
        <f t="shared" si="245"/>
        <v>200</v>
      </c>
      <c r="O1617" s="77"/>
      <c r="P1617" s="647" t="s">
        <v>110</v>
      </c>
      <c r="Q1617" s="1136" t="s">
        <v>105</v>
      </c>
      <c r="T1617" s="1115">
        <v>1</v>
      </c>
      <c r="V1617" s="31" t="s">
        <v>430</v>
      </c>
    </row>
    <row r="1618" spans="2:22" ht="75">
      <c r="B1618" s="668" t="s">
        <v>428</v>
      </c>
      <c r="C1618" s="668"/>
      <c r="D1618" s="77" t="s">
        <v>4368</v>
      </c>
      <c r="E1618" s="419">
        <v>41264</v>
      </c>
      <c r="F1618" s="419" t="s">
        <v>4965</v>
      </c>
      <c r="G1618" s="1103" t="s">
        <v>5668</v>
      </c>
      <c r="H1618" s="1103"/>
      <c r="I1618" s="211"/>
      <c r="J1618" s="609"/>
      <c r="L1618" s="186">
        <v>500</v>
      </c>
      <c r="M1618" s="77"/>
      <c r="N1618" s="203">
        <f t="shared" si="245"/>
        <v>500</v>
      </c>
      <c r="O1618" s="77"/>
      <c r="P1618" s="647" t="s">
        <v>110</v>
      </c>
      <c r="Q1618" s="1136" t="s">
        <v>105</v>
      </c>
      <c r="T1618" s="1115">
        <v>370</v>
      </c>
      <c r="V1618" s="31" t="s">
        <v>430</v>
      </c>
    </row>
    <row r="1620" spans="2:22">
      <c r="B1620" s="1207" t="s">
        <v>435</v>
      </c>
      <c r="C1620" s="1207"/>
      <c r="D1620" s="77"/>
      <c r="E1620" s="78"/>
      <c r="F1620" s="78"/>
      <c r="G1620" s="371"/>
      <c r="H1620" s="1103"/>
      <c r="I1620" s="243">
        <v>164800</v>
      </c>
      <c r="J1620" s="669"/>
      <c r="K1620" s="1199"/>
      <c r="L1620" s="121">
        <f>SUM(L1621:L1645)</f>
        <v>25080</v>
      </c>
      <c r="M1620" s="121"/>
      <c r="N1620" s="121">
        <f>SUM(N1621:N1645)</f>
        <v>25080</v>
      </c>
      <c r="O1620" s="357">
        <f>N1620+I1620</f>
        <v>189880</v>
      </c>
      <c r="Q1620" s="357"/>
      <c r="R1620" s="121">
        <f t="shared" ref="R1620:S1620" si="246">SUM(R1621:R1645)</f>
        <v>11800</v>
      </c>
      <c r="S1620" s="121">
        <f t="shared" si="246"/>
        <v>11800</v>
      </c>
    </row>
    <row r="1621" spans="2:22" ht="30">
      <c r="B1621" s="668" t="s">
        <v>428</v>
      </c>
      <c r="C1621" s="668"/>
      <c r="D1621" s="77" t="s">
        <v>4369</v>
      </c>
      <c r="E1621" s="419">
        <v>41121</v>
      </c>
      <c r="F1621" s="419" t="s">
        <v>4965</v>
      </c>
      <c r="G1621" s="1103" t="s">
        <v>5989</v>
      </c>
      <c r="H1621" s="1103"/>
      <c r="I1621" s="105"/>
      <c r="J1621" s="630"/>
      <c r="L1621" s="186">
        <v>300</v>
      </c>
      <c r="M1621" s="582"/>
      <c r="N1621" s="203">
        <f t="shared" ref="N1621:N1645" si="247">SUM(K1621:M1621)</f>
        <v>300</v>
      </c>
      <c r="O1621" s="582"/>
      <c r="P1621" s="647" t="s">
        <v>110</v>
      </c>
      <c r="Q1621" s="1136" t="s">
        <v>105</v>
      </c>
      <c r="T1621" s="1142" t="s">
        <v>4370</v>
      </c>
      <c r="V1621" s="12" t="s">
        <v>437</v>
      </c>
    </row>
    <row r="1622" spans="2:22" ht="30">
      <c r="B1622" s="668" t="s">
        <v>428</v>
      </c>
      <c r="C1622" s="668"/>
      <c r="D1622" s="77" t="s">
        <v>4371</v>
      </c>
      <c r="E1622" s="419">
        <v>41124</v>
      </c>
      <c r="F1622" s="419" t="s">
        <v>4965</v>
      </c>
      <c r="G1622" s="1103" t="s">
        <v>5989</v>
      </c>
      <c r="H1622" s="1103"/>
      <c r="I1622" s="105"/>
      <c r="J1622" s="630"/>
      <c r="L1622" s="186">
        <v>1000</v>
      </c>
      <c r="M1622" s="582"/>
      <c r="N1622" s="203">
        <f t="shared" si="247"/>
        <v>1000</v>
      </c>
      <c r="O1622" s="582"/>
      <c r="P1622" s="647" t="s">
        <v>110</v>
      </c>
      <c r="Q1622" s="1136" t="s">
        <v>105</v>
      </c>
      <c r="T1622" s="1142" t="s">
        <v>4370</v>
      </c>
      <c r="V1622" s="12" t="s">
        <v>437</v>
      </c>
    </row>
    <row r="1623" spans="2:22" ht="30">
      <c r="B1623" s="668" t="s">
        <v>428</v>
      </c>
      <c r="C1623" s="668"/>
      <c r="D1623" s="77" t="s">
        <v>4372</v>
      </c>
      <c r="E1623" s="419">
        <v>41127</v>
      </c>
      <c r="F1623" s="419" t="s">
        <v>4965</v>
      </c>
      <c r="G1623" s="1103" t="s">
        <v>5989</v>
      </c>
      <c r="H1623" s="1103"/>
      <c r="I1623" s="105"/>
      <c r="J1623" s="630"/>
      <c r="L1623" s="186">
        <v>250</v>
      </c>
      <c r="M1623" s="582"/>
      <c r="N1623" s="203">
        <f t="shared" si="247"/>
        <v>250</v>
      </c>
      <c r="O1623" s="582"/>
      <c r="P1623" s="647" t="s">
        <v>110</v>
      </c>
      <c r="Q1623" s="1136" t="s">
        <v>105</v>
      </c>
      <c r="T1623" s="1115">
        <f>44+26</f>
        <v>70</v>
      </c>
      <c r="V1623" s="12" t="s">
        <v>437</v>
      </c>
    </row>
    <row r="1624" spans="2:22" ht="30">
      <c r="B1624" s="668" t="s">
        <v>428</v>
      </c>
      <c r="C1624" s="668"/>
      <c r="D1624" s="77" t="s">
        <v>4373</v>
      </c>
      <c r="E1624" s="419">
        <v>41131</v>
      </c>
      <c r="F1624" s="419" t="s">
        <v>4965</v>
      </c>
      <c r="G1624" s="1103" t="s">
        <v>5989</v>
      </c>
      <c r="H1624" s="1103"/>
      <c r="I1624" s="105"/>
      <c r="J1624" s="630"/>
      <c r="L1624" s="186">
        <v>380</v>
      </c>
      <c r="M1624" s="582"/>
      <c r="N1624" s="203">
        <f t="shared" si="247"/>
        <v>380</v>
      </c>
      <c r="O1624" s="582"/>
      <c r="P1624" s="647" t="s">
        <v>110</v>
      </c>
      <c r="Q1624" s="1136" t="s">
        <v>105</v>
      </c>
      <c r="T1624" s="1142" t="s">
        <v>4370</v>
      </c>
      <c r="V1624" s="12" t="s">
        <v>437</v>
      </c>
    </row>
    <row r="1625" spans="2:22" ht="30">
      <c r="B1625" s="668" t="s">
        <v>428</v>
      </c>
      <c r="C1625" s="668"/>
      <c r="D1625" s="77" t="s">
        <v>4374</v>
      </c>
      <c r="E1625" s="419">
        <v>41134</v>
      </c>
      <c r="F1625" s="419" t="s">
        <v>4965</v>
      </c>
      <c r="G1625" s="1103" t="s">
        <v>5989</v>
      </c>
      <c r="H1625" s="1103"/>
      <c r="I1625" s="105"/>
      <c r="J1625" s="630"/>
      <c r="L1625" s="186">
        <v>500</v>
      </c>
      <c r="M1625" s="582"/>
      <c r="N1625" s="203">
        <f t="shared" si="247"/>
        <v>500</v>
      </c>
      <c r="O1625" s="582"/>
      <c r="P1625" s="647" t="s">
        <v>110</v>
      </c>
      <c r="Q1625" s="1136" t="s">
        <v>105</v>
      </c>
      <c r="T1625" s="1142" t="s">
        <v>4370</v>
      </c>
      <c r="V1625" s="12" t="s">
        <v>437</v>
      </c>
    </row>
    <row r="1626" spans="2:22" ht="30">
      <c r="B1626" s="668" t="s">
        <v>428</v>
      </c>
      <c r="C1626" s="668"/>
      <c r="D1626" s="77" t="s">
        <v>4375</v>
      </c>
      <c r="E1626" s="419">
        <v>41145</v>
      </c>
      <c r="F1626" s="419" t="s">
        <v>4965</v>
      </c>
      <c r="G1626" s="1103" t="s">
        <v>5989</v>
      </c>
      <c r="H1626" s="1103"/>
      <c r="I1626" s="105"/>
      <c r="J1626" s="630"/>
      <c r="L1626" s="186">
        <v>500</v>
      </c>
      <c r="M1626" s="582"/>
      <c r="N1626" s="203">
        <f t="shared" si="247"/>
        <v>500</v>
      </c>
      <c r="O1626" s="582"/>
      <c r="P1626" s="647" t="s">
        <v>110</v>
      </c>
      <c r="Q1626" s="1136" t="s">
        <v>105</v>
      </c>
      <c r="R1626" s="1003">
        <v>500</v>
      </c>
      <c r="S1626" s="1003">
        <v>500</v>
      </c>
      <c r="T1626" s="1115">
        <f>11+77</f>
        <v>88</v>
      </c>
      <c r="V1626" s="12" t="s">
        <v>437</v>
      </c>
    </row>
    <row r="1627" spans="2:22" ht="30">
      <c r="B1627" s="668" t="s">
        <v>428</v>
      </c>
      <c r="C1627" s="668"/>
      <c r="D1627" s="77" t="s">
        <v>4376</v>
      </c>
      <c r="E1627" s="419">
        <v>41204</v>
      </c>
      <c r="F1627" s="419" t="s">
        <v>4965</v>
      </c>
      <c r="G1627" s="1103" t="s">
        <v>5989</v>
      </c>
      <c r="H1627" s="1103"/>
      <c r="I1627" s="105"/>
      <c r="J1627" s="630"/>
      <c r="L1627" s="186">
        <v>300</v>
      </c>
      <c r="M1627" s="582"/>
      <c r="N1627" s="203">
        <f t="shared" si="247"/>
        <v>300</v>
      </c>
      <c r="O1627" s="582"/>
      <c r="P1627" s="647" t="s">
        <v>110</v>
      </c>
      <c r="Q1627" s="1136" t="s">
        <v>105</v>
      </c>
      <c r="T1627" s="1142" t="s">
        <v>4370</v>
      </c>
      <c r="V1627" s="12" t="s">
        <v>437</v>
      </c>
    </row>
    <row r="1628" spans="2:22" ht="30">
      <c r="B1628" s="668" t="s">
        <v>428</v>
      </c>
      <c r="C1628" s="668"/>
      <c r="D1628" s="77" t="s">
        <v>4377</v>
      </c>
      <c r="E1628" s="419">
        <v>41206</v>
      </c>
      <c r="F1628" s="419" t="s">
        <v>4965</v>
      </c>
      <c r="G1628" s="1103" t="s">
        <v>5989</v>
      </c>
      <c r="H1628" s="1103"/>
      <c r="I1628" s="105"/>
      <c r="J1628" s="630"/>
      <c r="L1628" s="186">
        <v>50</v>
      </c>
      <c r="M1628" s="582"/>
      <c r="N1628" s="203">
        <f t="shared" si="247"/>
        <v>50</v>
      </c>
      <c r="O1628" s="582"/>
      <c r="P1628" s="647" t="s">
        <v>110</v>
      </c>
      <c r="Q1628" s="1136" t="s">
        <v>105</v>
      </c>
      <c r="T1628" s="1142" t="s">
        <v>4370</v>
      </c>
      <c r="V1628" s="12" t="s">
        <v>437</v>
      </c>
    </row>
    <row r="1629" spans="2:22" ht="30">
      <c r="B1629" s="668" t="s">
        <v>428</v>
      </c>
      <c r="C1629" s="668"/>
      <c r="D1629" s="77" t="s">
        <v>4378</v>
      </c>
      <c r="E1629" s="419">
        <v>41218</v>
      </c>
      <c r="F1629" s="419" t="s">
        <v>4965</v>
      </c>
      <c r="G1629" s="1103" t="s">
        <v>5989</v>
      </c>
      <c r="H1629" s="1103"/>
      <c r="I1629" s="105"/>
      <c r="J1629" s="630"/>
      <c r="L1629" s="186">
        <v>1000</v>
      </c>
      <c r="M1629" s="582"/>
      <c r="N1629" s="203">
        <f t="shared" si="247"/>
        <v>1000</v>
      </c>
      <c r="O1629" s="582"/>
      <c r="P1629" s="647" t="s">
        <v>110</v>
      </c>
      <c r="Q1629" s="1136" t="s">
        <v>105</v>
      </c>
      <c r="R1629" s="1003">
        <v>1000</v>
      </c>
      <c r="S1629" s="1003">
        <v>1000</v>
      </c>
      <c r="T1629" s="1115">
        <v>189</v>
      </c>
      <c r="V1629" s="12" t="s">
        <v>437</v>
      </c>
    </row>
    <row r="1630" spans="2:22" ht="30">
      <c r="B1630" s="668" t="s">
        <v>428</v>
      </c>
      <c r="C1630" s="668"/>
      <c r="D1630" s="77" t="s">
        <v>4379</v>
      </c>
      <c r="E1630" s="419">
        <v>41250</v>
      </c>
      <c r="F1630" s="419" t="s">
        <v>4965</v>
      </c>
      <c r="G1630" s="1103" t="s">
        <v>5989</v>
      </c>
      <c r="H1630" s="1103"/>
      <c r="I1630" s="105"/>
      <c r="J1630" s="630"/>
      <c r="L1630" s="186">
        <v>1000</v>
      </c>
      <c r="M1630" s="582"/>
      <c r="N1630" s="203">
        <f t="shared" si="247"/>
        <v>1000</v>
      </c>
      <c r="O1630" s="582"/>
      <c r="P1630" s="647" t="s">
        <v>110</v>
      </c>
      <c r="Q1630" s="1136" t="s">
        <v>105</v>
      </c>
      <c r="T1630" s="1142" t="s">
        <v>4370</v>
      </c>
      <c r="V1630" s="12" t="s">
        <v>437</v>
      </c>
    </row>
    <row r="1631" spans="2:22" ht="30">
      <c r="B1631" s="668" t="s">
        <v>428</v>
      </c>
      <c r="C1631" s="668"/>
      <c r="D1631" s="77" t="s">
        <v>4380</v>
      </c>
      <c r="E1631" s="419">
        <v>41250</v>
      </c>
      <c r="F1631" s="419" t="s">
        <v>4965</v>
      </c>
      <c r="G1631" s="1103" t="s">
        <v>5989</v>
      </c>
      <c r="H1631" s="1103"/>
      <c r="I1631" s="105"/>
      <c r="J1631" s="630"/>
      <c r="L1631" s="186">
        <v>2000</v>
      </c>
      <c r="M1631" s="582"/>
      <c r="N1631" s="203">
        <f t="shared" si="247"/>
        <v>2000</v>
      </c>
      <c r="O1631" s="582"/>
      <c r="P1631" s="647" t="s">
        <v>110</v>
      </c>
      <c r="Q1631" s="1136" t="s">
        <v>105</v>
      </c>
      <c r="T1631" s="1142" t="s">
        <v>4370</v>
      </c>
      <c r="V1631" s="12" t="s">
        <v>437</v>
      </c>
    </row>
    <row r="1632" spans="2:22" ht="30">
      <c r="B1632" s="668" t="s">
        <v>428</v>
      </c>
      <c r="C1632" s="668"/>
      <c r="D1632" s="77" t="s">
        <v>4381</v>
      </c>
      <c r="E1632" s="419">
        <v>41250</v>
      </c>
      <c r="F1632" s="419" t="s">
        <v>4965</v>
      </c>
      <c r="G1632" s="1103" t="s">
        <v>5989</v>
      </c>
      <c r="H1632" s="1103"/>
      <c r="I1632" s="105"/>
      <c r="J1632" s="630"/>
      <c r="L1632" s="186">
        <v>500</v>
      </c>
      <c r="M1632" s="582"/>
      <c r="N1632" s="203">
        <f t="shared" si="247"/>
        <v>500</v>
      </c>
      <c r="O1632" s="582"/>
      <c r="P1632" s="647" t="s">
        <v>110</v>
      </c>
      <c r="Q1632" s="1136" t="s">
        <v>105</v>
      </c>
      <c r="T1632" s="1142" t="s">
        <v>4370</v>
      </c>
      <c r="V1632" s="12" t="s">
        <v>437</v>
      </c>
    </row>
    <row r="1633" spans="2:22" ht="30">
      <c r="B1633" s="668" t="s">
        <v>428</v>
      </c>
      <c r="C1633" s="668"/>
      <c r="D1633" s="77" t="s">
        <v>4382</v>
      </c>
      <c r="E1633" s="419">
        <v>41250</v>
      </c>
      <c r="F1633" s="419" t="s">
        <v>4965</v>
      </c>
      <c r="G1633" s="1103" t="s">
        <v>5989</v>
      </c>
      <c r="H1633" s="1103"/>
      <c r="I1633" s="105"/>
      <c r="J1633" s="630"/>
      <c r="L1633" s="186">
        <v>2000</v>
      </c>
      <c r="M1633" s="582"/>
      <c r="N1633" s="203">
        <f t="shared" si="247"/>
        <v>2000</v>
      </c>
      <c r="O1633" s="582"/>
      <c r="P1633" s="647" t="s">
        <v>110</v>
      </c>
      <c r="Q1633" s="1136" t="s">
        <v>105</v>
      </c>
      <c r="T1633" s="1142" t="s">
        <v>4370</v>
      </c>
      <c r="V1633" s="12" t="s">
        <v>437</v>
      </c>
    </row>
    <row r="1634" spans="2:22" ht="30">
      <c r="B1634" s="668" t="s">
        <v>428</v>
      </c>
      <c r="C1634" s="668"/>
      <c r="D1634" s="77" t="s">
        <v>4383</v>
      </c>
      <c r="E1634" s="419">
        <v>41250</v>
      </c>
      <c r="F1634" s="419" t="s">
        <v>4965</v>
      </c>
      <c r="G1634" s="1103" t="s">
        <v>5989</v>
      </c>
      <c r="H1634" s="1103"/>
      <c r="I1634" s="105"/>
      <c r="J1634" s="630"/>
      <c r="L1634" s="186">
        <v>1500</v>
      </c>
      <c r="M1634" s="582"/>
      <c r="N1634" s="203">
        <f t="shared" si="247"/>
        <v>1500</v>
      </c>
      <c r="O1634" s="582"/>
      <c r="P1634" s="647" t="s">
        <v>110</v>
      </c>
      <c r="Q1634" s="1136" t="s">
        <v>105</v>
      </c>
      <c r="R1634" s="1003">
        <v>1500</v>
      </c>
      <c r="S1634" s="1003">
        <v>1500</v>
      </c>
      <c r="T1634" s="1115">
        <v>152</v>
      </c>
      <c r="V1634" s="12" t="s">
        <v>437</v>
      </c>
    </row>
    <row r="1635" spans="2:22" ht="30">
      <c r="B1635" s="668" t="s">
        <v>428</v>
      </c>
      <c r="C1635" s="668"/>
      <c r="D1635" s="77" t="s">
        <v>4384</v>
      </c>
      <c r="E1635" s="419">
        <v>41250</v>
      </c>
      <c r="F1635" s="419" t="s">
        <v>4965</v>
      </c>
      <c r="G1635" s="1103" t="s">
        <v>5989</v>
      </c>
      <c r="H1635" s="1103"/>
      <c r="I1635" s="105"/>
      <c r="J1635" s="630"/>
      <c r="L1635" s="186">
        <v>1000</v>
      </c>
      <c r="M1635" s="582"/>
      <c r="N1635" s="203">
        <f t="shared" si="247"/>
        <v>1000</v>
      </c>
      <c r="O1635" s="582"/>
      <c r="P1635" s="647" t="s">
        <v>110</v>
      </c>
      <c r="Q1635" s="1136" t="s">
        <v>105</v>
      </c>
      <c r="T1635" s="1142" t="s">
        <v>4370</v>
      </c>
      <c r="V1635" s="12" t="s">
        <v>437</v>
      </c>
    </row>
    <row r="1636" spans="2:22" ht="30">
      <c r="B1636" s="668" t="s">
        <v>428</v>
      </c>
      <c r="C1636" s="668"/>
      <c r="D1636" s="77" t="s">
        <v>4385</v>
      </c>
      <c r="E1636" s="419">
        <v>41271</v>
      </c>
      <c r="F1636" s="419" t="s">
        <v>4965</v>
      </c>
      <c r="G1636" s="1103" t="s">
        <v>5989</v>
      </c>
      <c r="H1636" s="1103"/>
      <c r="I1636" s="105"/>
      <c r="J1636" s="630"/>
      <c r="L1636" s="186">
        <v>5000</v>
      </c>
      <c r="M1636" s="582"/>
      <c r="N1636" s="203">
        <f t="shared" si="247"/>
        <v>5000</v>
      </c>
      <c r="O1636" s="582"/>
      <c r="P1636" s="647" t="s">
        <v>110</v>
      </c>
      <c r="Q1636" s="1136" t="s">
        <v>105</v>
      </c>
      <c r="R1636" s="1003">
        <v>5000</v>
      </c>
      <c r="S1636" s="1003">
        <v>5000</v>
      </c>
      <c r="T1636" s="1115">
        <v>269</v>
      </c>
      <c r="V1636" s="12" t="s">
        <v>437</v>
      </c>
    </row>
    <row r="1637" spans="2:22" ht="30">
      <c r="B1637" s="668" t="s">
        <v>428</v>
      </c>
      <c r="C1637" s="668"/>
      <c r="D1637" s="77" t="s">
        <v>4386</v>
      </c>
      <c r="E1637" s="419">
        <v>41284</v>
      </c>
      <c r="F1637" s="419" t="s">
        <v>4965</v>
      </c>
      <c r="G1637" s="1103" t="s">
        <v>5989</v>
      </c>
      <c r="H1637" s="1103"/>
      <c r="I1637" s="243"/>
      <c r="J1637" s="669"/>
      <c r="L1637" s="186">
        <v>1000</v>
      </c>
      <c r="M1637" s="292"/>
      <c r="N1637" s="264">
        <f t="shared" si="247"/>
        <v>1000</v>
      </c>
      <c r="O1637" s="292"/>
      <c r="P1637" s="647" t="s">
        <v>110</v>
      </c>
      <c r="Q1637" s="1136" t="s">
        <v>105</v>
      </c>
      <c r="T1637" s="1142" t="s">
        <v>4370</v>
      </c>
      <c r="V1637" s="12" t="s">
        <v>437</v>
      </c>
    </row>
    <row r="1638" spans="2:22" ht="30">
      <c r="B1638" s="668" t="s">
        <v>428</v>
      </c>
      <c r="C1638" s="668"/>
      <c r="D1638" s="77" t="s">
        <v>4387</v>
      </c>
      <c r="E1638" s="419">
        <v>41288</v>
      </c>
      <c r="F1638" s="419" t="s">
        <v>4965</v>
      </c>
      <c r="G1638" s="1103" t="s">
        <v>5989</v>
      </c>
      <c r="H1638" s="1103"/>
      <c r="I1638" s="243"/>
      <c r="J1638" s="669"/>
      <c r="L1638" s="186">
        <v>2000</v>
      </c>
      <c r="M1638" s="292"/>
      <c r="N1638" s="264">
        <f t="shared" si="247"/>
        <v>2000</v>
      </c>
      <c r="O1638" s="292"/>
      <c r="P1638" s="647" t="s">
        <v>110</v>
      </c>
      <c r="Q1638" s="1136" t="s">
        <v>105</v>
      </c>
      <c r="R1638" s="1003">
        <v>2000</v>
      </c>
      <c r="S1638" s="1003">
        <v>2000</v>
      </c>
      <c r="T1638" s="1115">
        <v>31</v>
      </c>
      <c r="V1638" s="12" t="s">
        <v>437</v>
      </c>
    </row>
    <row r="1639" spans="2:22" ht="30">
      <c r="B1639" s="668" t="s">
        <v>428</v>
      </c>
      <c r="C1639" s="668"/>
      <c r="D1639" s="77" t="s">
        <v>4388</v>
      </c>
      <c r="E1639" s="419">
        <v>41289</v>
      </c>
      <c r="F1639" s="419" t="s">
        <v>4965</v>
      </c>
      <c r="G1639" s="1103" t="s">
        <v>5989</v>
      </c>
      <c r="H1639" s="1103"/>
      <c r="I1639" s="243"/>
      <c r="J1639" s="669"/>
      <c r="L1639" s="186">
        <v>300</v>
      </c>
      <c r="M1639" s="292"/>
      <c r="N1639" s="264">
        <f t="shared" si="247"/>
        <v>300</v>
      </c>
      <c r="O1639" s="292"/>
      <c r="P1639" s="647" t="s">
        <v>110</v>
      </c>
      <c r="Q1639" s="1136" t="s">
        <v>105</v>
      </c>
      <c r="R1639" s="1003">
        <v>300</v>
      </c>
      <c r="S1639" s="1003">
        <v>300</v>
      </c>
      <c r="T1639" s="1115">
        <v>11</v>
      </c>
      <c r="V1639" s="12" t="s">
        <v>437</v>
      </c>
    </row>
    <row r="1640" spans="2:22" ht="30">
      <c r="B1640" s="668" t="s">
        <v>428</v>
      </c>
      <c r="C1640" s="668"/>
      <c r="D1640" s="77" t="s">
        <v>4389</v>
      </c>
      <c r="E1640" s="419">
        <v>41289</v>
      </c>
      <c r="F1640" s="419" t="s">
        <v>4965</v>
      </c>
      <c r="G1640" s="1103" t="s">
        <v>5989</v>
      </c>
      <c r="H1640" s="1103"/>
      <c r="I1640" s="243"/>
      <c r="J1640" s="669"/>
      <c r="L1640" s="186">
        <v>1000</v>
      </c>
      <c r="M1640" s="292"/>
      <c r="N1640" s="264">
        <f t="shared" si="247"/>
        <v>1000</v>
      </c>
      <c r="O1640" s="292"/>
      <c r="P1640" s="647" t="s">
        <v>110</v>
      </c>
      <c r="Q1640" s="1136" t="s">
        <v>105</v>
      </c>
      <c r="T1640" s="1142" t="s">
        <v>4370</v>
      </c>
      <c r="V1640" s="12" t="s">
        <v>437</v>
      </c>
    </row>
    <row r="1641" spans="2:22" ht="30">
      <c r="B1641" s="668" t="s">
        <v>428</v>
      </c>
      <c r="C1641" s="668"/>
      <c r="D1641" s="77" t="s">
        <v>4390</v>
      </c>
      <c r="E1641" s="419">
        <v>41305</v>
      </c>
      <c r="F1641" s="419" t="s">
        <v>4965</v>
      </c>
      <c r="G1641" s="1103" t="s">
        <v>5989</v>
      </c>
      <c r="H1641" s="1103"/>
      <c r="I1641" s="243"/>
      <c r="J1641" s="669"/>
      <c r="L1641" s="186">
        <v>1000</v>
      </c>
      <c r="M1641" s="292"/>
      <c r="N1641" s="264">
        <f t="shared" si="247"/>
        <v>1000</v>
      </c>
      <c r="O1641" s="292"/>
      <c r="P1641" s="647" t="s">
        <v>110</v>
      </c>
      <c r="Q1641" s="1136" t="s">
        <v>105</v>
      </c>
      <c r="T1641" s="1142" t="s">
        <v>4370</v>
      </c>
      <c r="V1641" s="12" t="s">
        <v>437</v>
      </c>
    </row>
    <row r="1642" spans="2:22" ht="30">
      <c r="B1642" s="668" t="s">
        <v>428</v>
      </c>
      <c r="C1642" s="668"/>
      <c r="D1642" s="77" t="s">
        <v>4391</v>
      </c>
      <c r="E1642" s="419">
        <v>41325</v>
      </c>
      <c r="F1642" s="419" t="s">
        <v>4965</v>
      </c>
      <c r="G1642" s="1103" t="s">
        <v>5989</v>
      </c>
      <c r="H1642" s="1103"/>
      <c r="I1642" s="243"/>
      <c r="J1642" s="669"/>
      <c r="L1642" s="186">
        <v>500</v>
      </c>
      <c r="M1642" s="292"/>
      <c r="N1642" s="264">
        <f t="shared" si="247"/>
        <v>500</v>
      </c>
      <c r="O1642" s="292"/>
      <c r="P1642" s="647" t="s">
        <v>110</v>
      </c>
      <c r="Q1642" s="1136" t="s">
        <v>105</v>
      </c>
      <c r="T1642" s="1142" t="s">
        <v>4370</v>
      </c>
      <c r="V1642" s="12" t="s">
        <v>437</v>
      </c>
    </row>
    <row r="1643" spans="2:22" ht="30">
      <c r="B1643" s="668" t="s">
        <v>428</v>
      </c>
      <c r="C1643" s="668"/>
      <c r="D1643" s="77" t="s">
        <v>4392</v>
      </c>
      <c r="E1643" s="419">
        <v>41341</v>
      </c>
      <c r="F1643" s="419" t="s">
        <v>4965</v>
      </c>
      <c r="G1643" s="1103" t="s">
        <v>5989</v>
      </c>
      <c r="H1643" s="1103"/>
      <c r="I1643" s="243"/>
      <c r="J1643" s="669"/>
      <c r="L1643" s="186">
        <v>500</v>
      </c>
      <c r="M1643" s="292"/>
      <c r="N1643" s="264">
        <f t="shared" si="247"/>
        <v>500</v>
      </c>
      <c r="O1643" s="292"/>
      <c r="P1643" s="647" t="s">
        <v>110</v>
      </c>
      <c r="Q1643" s="1136" t="s">
        <v>105</v>
      </c>
      <c r="R1643" s="1003">
        <v>500</v>
      </c>
      <c r="S1643" s="1003">
        <v>500</v>
      </c>
      <c r="T1643" s="1115">
        <v>45</v>
      </c>
      <c r="V1643" s="12" t="s">
        <v>437</v>
      </c>
    </row>
    <row r="1644" spans="2:22" ht="30">
      <c r="B1644" s="668" t="s">
        <v>428</v>
      </c>
      <c r="C1644" s="668"/>
      <c r="D1644" s="77" t="s">
        <v>4393</v>
      </c>
      <c r="E1644" s="419">
        <v>41415</v>
      </c>
      <c r="F1644" s="419" t="s">
        <v>4965</v>
      </c>
      <c r="G1644" s="1103" t="s">
        <v>5989</v>
      </c>
      <c r="H1644" s="1103"/>
      <c r="I1644" s="243"/>
      <c r="J1644" s="669"/>
      <c r="L1644" s="186">
        <v>1000</v>
      </c>
      <c r="M1644" s="292"/>
      <c r="N1644" s="264">
        <f t="shared" si="247"/>
        <v>1000</v>
      </c>
      <c r="O1644" s="292"/>
      <c r="P1644" s="647" t="s">
        <v>110</v>
      </c>
      <c r="Q1644" s="1136" t="s">
        <v>105</v>
      </c>
      <c r="R1644" s="1003">
        <v>1000</v>
      </c>
      <c r="S1644" s="1003">
        <v>1000</v>
      </c>
      <c r="T1644" s="1115">
        <v>133</v>
      </c>
      <c r="V1644" s="12" t="s">
        <v>437</v>
      </c>
    </row>
    <row r="1645" spans="2:22" ht="60">
      <c r="B1645" s="668" t="s">
        <v>428</v>
      </c>
      <c r="C1645" s="668"/>
      <c r="D1645" s="77" t="s">
        <v>4394</v>
      </c>
      <c r="E1645" s="78">
        <v>41110</v>
      </c>
      <c r="F1645" s="78" t="s">
        <v>4992</v>
      </c>
      <c r="G1645" s="371" t="s">
        <v>5669</v>
      </c>
      <c r="H1645" s="1103"/>
      <c r="I1645" s="243"/>
      <c r="J1645" s="669"/>
      <c r="L1645" s="74">
        <v>500</v>
      </c>
      <c r="M1645" s="292"/>
      <c r="N1645" s="264">
        <f t="shared" si="247"/>
        <v>500</v>
      </c>
      <c r="O1645" s="292"/>
      <c r="P1645" s="647" t="s">
        <v>110</v>
      </c>
      <c r="Q1645" s="1136" t="s">
        <v>103</v>
      </c>
      <c r="T1645" s="1115" t="s">
        <v>507</v>
      </c>
      <c r="V1645" s="12" t="s">
        <v>2686</v>
      </c>
    </row>
    <row r="1647" spans="2:22">
      <c r="B1647" s="1207" t="s">
        <v>537</v>
      </c>
      <c r="C1647" s="1207"/>
      <c r="D1647" s="77"/>
      <c r="E1647" s="78"/>
      <c r="F1647" s="78"/>
      <c r="G1647" s="1103"/>
      <c r="H1647" s="1103"/>
      <c r="I1647" s="243">
        <v>259600</v>
      </c>
      <c r="J1647" s="669"/>
      <c r="K1647" s="670"/>
      <c r="L1647" s="121">
        <f>SUM(L1648:L1655)</f>
        <v>4900</v>
      </c>
      <c r="M1647" s="121">
        <f>SUM(M1648:M1655)</f>
        <v>0</v>
      </c>
      <c r="N1647" s="121">
        <f>SUM(N1648:N1655)</f>
        <v>4900</v>
      </c>
      <c r="O1647" s="357">
        <f>N1647+I1647</f>
        <v>264500</v>
      </c>
      <c r="Q1647" s="357"/>
      <c r="R1647" s="121">
        <f t="shared" ref="R1647:S1647" si="248">SUM(R1648:R1655)</f>
        <v>0</v>
      </c>
      <c r="S1647" s="121">
        <f t="shared" si="248"/>
        <v>0</v>
      </c>
    </row>
    <row r="1648" spans="2:22" ht="75">
      <c r="B1648" s="668" t="s">
        <v>428</v>
      </c>
      <c r="C1648" s="668"/>
      <c r="D1648" s="77" t="s">
        <v>4395</v>
      </c>
      <c r="E1648" s="419">
        <v>41121</v>
      </c>
      <c r="F1648" s="419" t="s">
        <v>4992</v>
      </c>
      <c r="G1648" s="1103" t="s">
        <v>5671</v>
      </c>
      <c r="H1648" s="1103"/>
      <c r="I1648" s="105"/>
      <c r="J1648" s="630"/>
      <c r="K1648" s="186"/>
      <c r="L1648" s="186">
        <v>300</v>
      </c>
      <c r="M1648" s="582"/>
      <c r="N1648" s="203">
        <f t="shared" ref="N1648:N1654" si="249">SUM(K1648:M1648)</f>
        <v>300</v>
      </c>
      <c r="O1648" s="582"/>
      <c r="P1648" s="647" t="s">
        <v>110</v>
      </c>
      <c r="Q1648" s="1136" t="s">
        <v>105</v>
      </c>
      <c r="T1648" s="1115" t="s">
        <v>507</v>
      </c>
      <c r="V1648" s="12" t="s">
        <v>4396</v>
      </c>
    </row>
    <row r="1649" spans="2:22" ht="75">
      <c r="B1649" s="668" t="s">
        <v>428</v>
      </c>
      <c r="C1649" s="668"/>
      <c r="D1649" s="77" t="s">
        <v>4397</v>
      </c>
      <c r="E1649" s="419">
        <v>41121</v>
      </c>
      <c r="F1649" s="419" t="s">
        <v>4992</v>
      </c>
      <c r="G1649" s="1103" t="s">
        <v>5671</v>
      </c>
      <c r="H1649" s="1103"/>
      <c r="I1649" s="105"/>
      <c r="J1649" s="630"/>
      <c r="K1649" s="186"/>
      <c r="L1649" s="186">
        <v>300</v>
      </c>
      <c r="M1649" s="582"/>
      <c r="N1649" s="203">
        <f t="shared" si="249"/>
        <v>300</v>
      </c>
      <c r="O1649" s="582"/>
      <c r="P1649" s="647" t="s">
        <v>110</v>
      </c>
      <c r="Q1649" s="1136" t="s">
        <v>105</v>
      </c>
      <c r="T1649" s="1115" t="s">
        <v>507</v>
      </c>
      <c r="V1649" s="12" t="s">
        <v>4396</v>
      </c>
    </row>
    <row r="1650" spans="2:22" ht="75">
      <c r="B1650" s="668" t="s">
        <v>428</v>
      </c>
      <c r="C1650" s="668"/>
      <c r="D1650" s="77" t="s">
        <v>4398</v>
      </c>
      <c r="E1650" s="419">
        <v>41124</v>
      </c>
      <c r="F1650" s="419" t="s">
        <v>4992</v>
      </c>
      <c r="G1650" s="1103" t="s">
        <v>5671</v>
      </c>
      <c r="H1650" s="1103"/>
      <c r="I1650" s="105"/>
      <c r="J1650" s="630"/>
      <c r="K1650" s="186"/>
      <c r="L1650" s="186">
        <v>1000</v>
      </c>
      <c r="M1650" s="582"/>
      <c r="N1650" s="203">
        <f t="shared" si="249"/>
        <v>1000</v>
      </c>
      <c r="O1650" s="582"/>
      <c r="P1650" s="647" t="s">
        <v>110</v>
      </c>
      <c r="Q1650" s="1136" t="s">
        <v>105</v>
      </c>
      <c r="T1650" s="1115" t="s">
        <v>507</v>
      </c>
      <c r="V1650" s="12" t="s">
        <v>4396</v>
      </c>
    </row>
    <row r="1651" spans="2:22" ht="75">
      <c r="B1651" s="668" t="s">
        <v>428</v>
      </c>
      <c r="C1651" s="668"/>
      <c r="D1651" s="77" t="s">
        <v>4399</v>
      </c>
      <c r="E1651" s="419">
        <v>41145</v>
      </c>
      <c r="F1651" s="419" t="s">
        <v>4992</v>
      </c>
      <c r="G1651" s="1103" t="s">
        <v>5671</v>
      </c>
      <c r="H1651" s="1103"/>
      <c r="I1651" s="105"/>
      <c r="J1651" s="630"/>
      <c r="K1651" s="186"/>
      <c r="L1651" s="186">
        <v>300</v>
      </c>
      <c r="M1651" s="582"/>
      <c r="N1651" s="203">
        <f t="shared" si="249"/>
        <v>300</v>
      </c>
      <c r="O1651" s="582"/>
      <c r="P1651" s="647" t="s">
        <v>110</v>
      </c>
      <c r="Q1651" s="1136" t="s">
        <v>105</v>
      </c>
      <c r="T1651" s="1115" t="s">
        <v>507</v>
      </c>
      <c r="V1651" s="12" t="s">
        <v>4396</v>
      </c>
    </row>
    <row r="1652" spans="2:22" ht="75">
      <c r="B1652" s="668" t="s">
        <v>428</v>
      </c>
      <c r="C1652" s="668"/>
      <c r="D1652" s="77" t="s">
        <v>4400</v>
      </c>
      <c r="E1652" s="419">
        <v>41221</v>
      </c>
      <c r="F1652" s="419" t="s">
        <v>4992</v>
      </c>
      <c r="G1652" s="1103" t="s">
        <v>5671</v>
      </c>
      <c r="H1652" s="1103"/>
      <c r="I1652" s="105"/>
      <c r="J1652" s="630"/>
      <c r="K1652" s="186"/>
      <c r="L1652" s="186">
        <v>500</v>
      </c>
      <c r="M1652" s="582"/>
      <c r="N1652" s="203">
        <f t="shared" si="249"/>
        <v>500</v>
      </c>
      <c r="O1652" s="582"/>
      <c r="P1652" s="647" t="s">
        <v>110</v>
      </c>
      <c r="Q1652" s="1136" t="s">
        <v>105</v>
      </c>
      <c r="T1652" s="1115" t="s">
        <v>507</v>
      </c>
      <c r="V1652" s="12" t="s">
        <v>4396</v>
      </c>
    </row>
    <row r="1653" spans="2:22" ht="75">
      <c r="B1653" s="668" t="s">
        <v>428</v>
      </c>
      <c r="C1653" s="668"/>
      <c r="D1653" s="77" t="s">
        <v>4401</v>
      </c>
      <c r="E1653" s="419">
        <v>41250</v>
      </c>
      <c r="F1653" s="419" t="s">
        <v>4992</v>
      </c>
      <c r="G1653" s="1103" t="s">
        <v>5671</v>
      </c>
      <c r="H1653" s="1103"/>
      <c r="I1653" s="105"/>
      <c r="J1653" s="630"/>
      <c r="K1653" s="186"/>
      <c r="L1653" s="186">
        <v>1000</v>
      </c>
      <c r="M1653" s="582"/>
      <c r="N1653" s="203">
        <f t="shared" si="249"/>
        <v>1000</v>
      </c>
      <c r="O1653" s="582"/>
      <c r="P1653" s="647" t="s">
        <v>110</v>
      </c>
      <c r="Q1653" s="1136" t="s">
        <v>105</v>
      </c>
      <c r="T1653" s="1115" t="s">
        <v>507</v>
      </c>
      <c r="V1653" s="12" t="s">
        <v>4396</v>
      </c>
    </row>
    <row r="1654" spans="2:22" ht="75">
      <c r="B1654" s="668" t="s">
        <v>428</v>
      </c>
      <c r="C1654" s="668"/>
      <c r="D1654" s="77" t="s">
        <v>4402</v>
      </c>
      <c r="E1654" s="419">
        <v>41250</v>
      </c>
      <c r="F1654" s="419" t="s">
        <v>4992</v>
      </c>
      <c r="G1654" s="1103" t="s">
        <v>5671</v>
      </c>
      <c r="H1654" s="1103"/>
      <c r="I1654" s="105"/>
      <c r="J1654" s="630"/>
      <c r="K1654" s="186"/>
      <c r="L1654" s="186">
        <v>1000</v>
      </c>
      <c r="M1654" s="582"/>
      <c r="N1654" s="203">
        <f t="shared" si="249"/>
        <v>1000</v>
      </c>
      <c r="O1654" s="582"/>
      <c r="P1654" s="647" t="s">
        <v>110</v>
      </c>
      <c r="Q1654" s="1136" t="s">
        <v>105</v>
      </c>
      <c r="T1654" s="1115" t="s">
        <v>507</v>
      </c>
      <c r="V1654" s="12" t="s">
        <v>4396</v>
      </c>
    </row>
    <row r="1655" spans="2:22" ht="75">
      <c r="B1655" s="668" t="s">
        <v>428</v>
      </c>
      <c r="C1655" s="668"/>
      <c r="D1655" s="77" t="s">
        <v>4403</v>
      </c>
      <c r="E1655" s="419">
        <v>41284</v>
      </c>
      <c r="F1655" s="419" t="s">
        <v>4992</v>
      </c>
      <c r="G1655" s="1103" t="s">
        <v>5671</v>
      </c>
      <c r="H1655" s="1103"/>
      <c r="I1655" s="243"/>
      <c r="J1655" s="669"/>
      <c r="K1655" s="184"/>
      <c r="L1655" s="186">
        <v>500</v>
      </c>
      <c r="M1655" s="292"/>
      <c r="N1655" s="264">
        <f>SUM(K1655:M1655)</f>
        <v>500</v>
      </c>
      <c r="O1655" s="292"/>
      <c r="P1655" s="647" t="s">
        <v>110</v>
      </c>
      <c r="Q1655" s="1136" t="s">
        <v>105</v>
      </c>
      <c r="T1655" s="1115" t="s">
        <v>507</v>
      </c>
      <c r="V1655" s="12" t="s">
        <v>4396</v>
      </c>
    </row>
    <row r="1657" spans="2:22">
      <c r="B1657" s="1207" t="s">
        <v>442</v>
      </c>
      <c r="C1657" s="1207"/>
      <c r="D1657" s="32"/>
      <c r="E1657" s="671"/>
      <c r="F1657" s="671"/>
      <c r="G1657" s="31"/>
      <c r="H1657" s="31"/>
      <c r="I1657" s="508"/>
      <c r="J1657" s="672"/>
      <c r="K1657" s="673"/>
      <c r="L1657" s="674">
        <f>SUM(L1658:L1678)</f>
        <v>14575</v>
      </c>
      <c r="M1657" s="674">
        <f t="shared" ref="M1657:N1657" si="250">SUM(M1658:M1678)</f>
        <v>0</v>
      </c>
      <c r="N1657" s="674">
        <f t="shared" si="250"/>
        <v>14575</v>
      </c>
      <c r="O1657" s="675"/>
      <c r="Q1657" s="675"/>
      <c r="R1657" s="674">
        <f t="shared" ref="R1657:S1657" si="251">SUM(R1658:R1678)</f>
        <v>14275</v>
      </c>
      <c r="S1657" s="674">
        <f t="shared" si="251"/>
        <v>9324.26</v>
      </c>
    </row>
    <row r="1658" spans="2:22" ht="30">
      <c r="B1658" s="668" t="s">
        <v>428</v>
      </c>
      <c r="C1658" s="668"/>
      <c r="D1658" s="77" t="s">
        <v>4404</v>
      </c>
      <c r="E1658" s="419">
        <v>41121</v>
      </c>
      <c r="F1658" s="419" t="s">
        <v>4965</v>
      </c>
      <c r="G1658" s="1103" t="s">
        <v>5683</v>
      </c>
      <c r="H1658" s="1103"/>
      <c r="I1658" s="105"/>
      <c r="J1658" s="630"/>
      <c r="K1658" s="186"/>
      <c r="L1658" s="186">
        <v>300</v>
      </c>
      <c r="M1658" s="582"/>
      <c r="N1658" s="203">
        <f t="shared" ref="N1658:N1678" si="252">SUM(K1658:M1658)</f>
        <v>300</v>
      </c>
      <c r="O1658" s="582"/>
      <c r="P1658" s="647" t="s">
        <v>110</v>
      </c>
      <c r="Q1658" s="1136" t="s">
        <v>105</v>
      </c>
      <c r="R1658" s="1003">
        <v>300</v>
      </c>
      <c r="S1658" s="1003">
        <v>300</v>
      </c>
      <c r="T1658" s="1115" t="s">
        <v>4405</v>
      </c>
      <c r="V1658" s="12" t="s">
        <v>444</v>
      </c>
    </row>
    <row r="1659" spans="2:22" ht="30">
      <c r="B1659" s="668" t="s">
        <v>428</v>
      </c>
      <c r="C1659" s="668"/>
      <c r="D1659" s="77" t="s">
        <v>4406</v>
      </c>
      <c r="E1659" s="419">
        <v>41121</v>
      </c>
      <c r="F1659" s="419" t="s">
        <v>4965</v>
      </c>
      <c r="G1659" s="1103" t="s">
        <v>5683</v>
      </c>
      <c r="H1659" s="1103"/>
      <c r="I1659" s="105"/>
      <c r="J1659" s="630"/>
      <c r="K1659" s="186"/>
      <c r="L1659" s="186">
        <v>1000</v>
      </c>
      <c r="M1659" s="582"/>
      <c r="N1659" s="203">
        <f t="shared" si="252"/>
        <v>1000</v>
      </c>
      <c r="O1659" s="582"/>
      <c r="P1659" s="647" t="s">
        <v>110</v>
      </c>
      <c r="Q1659" s="1136" t="s">
        <v>105</v>
      </c>
      <c r="R1659" s="1003">
        <v>1000</v>
      </c>
      <c r="V1659" s="12" t="s">
        <v>444</v>
      </c>
    </row>
    <row r="1660" spans="2:22" ht="30">
      <c r="B1660" s="668" t="s">
        <v>428</v>
      </c>
      <c r="C1660" s="668"/>
      <c r="D1660" s="77" t="s">
        <v>4407</v>
      </c>
      <c r="E1660" s="419">
        <v>41121</v>
      </c>
      <c r="F1660" s="419" t="s">
        <v>4965</v>
      </c>
      <c r="G1660" s="1103" t="s">
        <v>5683</v>
      </c>
      <c r="H1660" s="1103"/>
      <c r="I1660" s="105"/>
      <c r="J1660" s="630"/>
      <c r="K1660" s="186"/>
      <c r="L1660" s="186">
        <v>400</v>
      </c>
      <c r="M1660" s="582"/>
      <c r="N1660" s="203">
        <f t="shared" si="252"/>
        <v>400</v>
      </c>
      <c r="O1660" s="582"/>
      <c r="P1660" s="647" t="s">
        <v>110</v>
      </c>
      <c r="Q1660" s="1136" t="s">
        <v>105</v>
      </c>
      <c r="R1660" s="1003">
        <v>400</v>
      </c>
      <c r="S1660" s="1003">
        <v>112.37</v>
      </c>
      <c r="T1660" s="1115" t="s">
        <v>2745</v>
      </c>
      <c r="V1660" s="12" t="s">
        <v>444</v>
      </c>
    </row>
    <row r="1661" spans="2:22" ht="30">
      <c r="B1661" s="668" t="s">
        <v>428</v>
      </c>
      <c r="C1661" s="668"/>
      <c r="D1661" s="77" t="s">
        <v>4408</v>
      </c>
      <c r="E1661" s="419">
        <v>41124</v>
      </c>
      <c r="F1661" s="419" t="s">
        <v>4965</v>
      </c>
      <c r="G1661" s="1103" t="s">
        <v>5683</v>
      </c>
      <c r="H1661" s="1103"/>
      <c r="I1661" s="105"/>
      <c r="J1661" s="630"/>
      <c r="K1661" s="186"/>
      <c r="L1661" s="186">
        <v>1500</v>
      </c>
      <c r="M1661" s="582"/>
      <c r="N1661" s="203">
        <f t="shared" si="252"/>
        <v>1500</v>
      </c>
      <c r="O1661" s="582"/>
      <c r="P1661" s="647" t="s">
        <v>110</v>
      </c>
      <c r="Q1661" s="1136" t="s">
        <v>105</v>
      </c>
      <c r="R1661" s="1003">
        <v>1500</v>
      </c>
      <c r="S1661" s="1003">
        <f>1155+345</f>
        <v>1500</v>
      </c>
      <c r="T1661" s="1115" t="s">
        <v>4409</v>
      </c>
      <c r="V1661" s="12" t="s">
        <v>444</v>
      </c>
    </row>
    <row r="1662" spans="2:22" ht="30">
      <c r="B1662" s="668" t="s">
        <v>428</v>
      </c>
      <c r="C1662" s="668"/>
      <c r="D1662" s="77" t="s">
        <v>4410</v>
      </c>
      <c r="E1662" s="419">
        <v>41127</v>
      </c>
      <c r="F1662" s="419" t="s">
        <v>4965</v>
      </c>
      <c r="G1662" s="1103" t="s">
        <v>5683</v>
      </c>
      <c r="H1662" s="1103"/>
      <c r="I1662" s="105"/>
      <c r="J1662" s="630"/>
      <c r="K1662" s="186"/>
      <c r="L1662" s="186">
        <v>200</v>
      </c>
      <c r="M1662" s="582"/>
      <c r="N1662" s="203">
        <f t="shared" si="252"/>
        <v>200</v>
      </c>
      <c r="O1662" s="582"/>
      <c r="P1662" s="647" t="s">
        <v>110</v>
      </c>
      <c r="Q1662" s="1136" t="s">
        <v>105</v>
      </c>
      <c r="R1662" s="1003">
        <v>200</v>
      </c>
      <c r="S1662" s="1003">
        <v>200</v>
      </c>
      <c r="V1662" s="12" t="s">
        <v>444</v>
      </c>
    </row>
    <row r="1663" spans="2:22" ht="30">
      <c r="B1663" s="668" t="s">
        <v>428</v>
      </c>
      <c r="C1663" s="668"/>
      <c r="D1663" s="77" t="s">
        <v>4411</v>
      </c>
      <c r="E1663" s="419">
        <v>41131</v>
      </c>
      <c r="F1663" s="419" t="s">
        <v>4965</v>
      </c>
      <c r="G1663" s="1103" t="s">
        <v>5683</v>
      </c>
      <c r="H1663" s="1103"/>
      <c r="I1663" s="105"/>
      <c r="J1663" s="630"/>
      <c r="K1663" s="186"/>
      <c r="L1663" s="186">
        <v>500</v>
      </c>
      <c r="M1663" s="582"/>
      <c r="N1663" s="203">
        <f t="shared" si="252"/>
        <v>500</v>
      </c>
      <c r="O1663" s="582"/>
      <c r="P1663" s="647" t="s">
        <v>110</v>
      </c>
      <c r="Q1663" s="1136" t="s">
        <v>105</v>
      </c>
      <c r="R1663" s="1003">
        <v>500</v>
      </c>
      <c r="S1663" s="1003">
        <f>262+199.37</f>
        <v>461.37</v>
      </c>
      <c r="T1663" s="1115" t="s">
        <v>4412</v>
      </c>
      <c r="V1663" s="12" t="s">
        <v>444</v>
      </c>
    </row>
    <row r="1664" spans="2:22" ht="30">
      <c r="B1664" s="668" t="s">
        <v>428</v>
      </c>
      <c r="C1664" s="668"/>
      <c r="D1664" s="77" t="s">
        <v>4413</v>
      </c>
      <c r="E1664" s="419">
        <v>41131</v>
      </c>
      <c r="F1664" s="419" t="s">
        <v>4965</v>
      </c>
      <c r="G1664" s="1103" t="s">
        <v>5683</v>
      </c>
      <c r="H1664" s="1103"/>
      <c r="I1664" s="105"/>
      <c r="J1664" s="630"/>
      <c r="K1664" s="186"/>
      <c r="L1664" s="186">
        <v>500</v>
      </c>
      <c r="M1664" s="582"/>
      <c r="N1664" s="203">
        <f t="shared" si="252"/>
        <v>500</v>
      </c>
      <c r="O1664" s="582"/>
      <c r="P1664" s="647" t="s">
        <v>110</v>
      </c>
      <c r="Q1664" s="1136" t="s">
        <v>105</v>
      </c>
      <c r="R1664" s="1003">
        <v>500</v>
      </c>
      <c r="S1664" s="1003">
        <f>21+9.13</f>
        <v>30.130000000000003</v>
      </c>
      <c r="T1664" s="1115" t="s">
        <v>4414</v>
      </c>
      <c r="V1664" s="12" t="s">
        <v>444</v>
      </c>
    </row>
    <row r="1665" spans="2:22" ht="30">
      <c r="B1665" s="668" t="s">
        <v>428</v>
      </c>
      <c r="C1665" s="668"/>
      <c r="D1665" s="77" t="s">
        <v>4415</v>
      </c>
      <c r="E1665" s="419">
        <v>41134</v>
      </c>
      <c r="F1665" s="419" t="s">
        <v>4965</v>
      </c>
      <c r="G1665" s="1103" t="s">
        <v>5683</v>
      </c>
      <c r="H1665" s="1103"/>
      <c r="I1665" s="105"/>
      <c r="J1665" s="630"/>
      <c r="K1665" s="186"/>
      <c r="L1665" s="186">
        <v>500</v>
      </c>
      <c r="M1665" s="582"/>
      <c r="N1665" s="203">
        <f t="shared" si="252"/>
        <v>500</v>
      </c>
      <c r="O1665" s="582"/>
      <c r="P1665" s="647" t="s">
        <v>110</v>
      </c>
      <c r="Q1665" s="1136" t="s">
        <v>105</v>
      </c>
      <c r="R1665" s="1003">
        <v>500</v>
      </c>
      <c r="S1665" s="1003"/>
      <c r="T1665" s="1115"/>
      <c r="V1665" s="12" t="s">
        <v>444</v>
      </c>
    </row>
    <row r="1666" spans="2:22" ht="30">
      <c r="B1666" s="668" t="s">
        <v>428</v>
      </c>
      <c r="C1666" s="668"/>
      <c r="D1666" s="77" t="s">
        <v>4416</v>
      </c>
      <c r="E1666" s="419">
        <v>41145</v>
      </c>
      <c r="F1666" s="419" t="s">
        <v>4965</v>
      </c>
      <c r="G1666" s="1103" t="s">
        <v>5683</v>
      </c>
      <c r="H1666" s="1103"/>
      <c r="I1666" s="105"/>
      <c r="J1666" s="630"/>
      <c r="K1666" s="186"/>
      <c r="L1666" s="186">
        <v>500</v>
      </c>
      <c r="M1666" s="582"/>
      <c r="N1666" s="203">
        <f t="shared" si="252"/>
        <v>500</v>
      </c>
      <c r="O1666" s="582"/>
      <c r="P1666" s="647" t="s">
        <v>110</v>
      </c>
      <c r="Q1666" s="1136" t="s">
        <v>105</v>
      </c>
      <c r="R1666" s="1003">
        <v>500</v>
      </c>
      <c r="S1666" s="1003">
        <v>86</v>
      </c>
      <c r="T1666" s="1115" t="s">
        <v>4417</v>
      </c>
      <c r="V1666" s="12" t="s">
        <v>444</v>
      </c>
    </row>
    <row r="1667" spans="2:22" ht="30">
      <c r="B1667" s="668" t="s">
        <v>428</v>
      </c>
      <c r="C1667" s="668"/>
      <c r="D1667" s="77" t="s">
        <v>4418</v>
      </c>
      <c r="E1667" s="419">
        <v>41204</v>
      </c>
      <c r="F1667" s="419" t="s">
        <v>4965</v>
      </c>
      <c r="G1667" s="1103" t="s">
        <v>5683</v>
      </c>
      <c r="H1667" s="1103"/>
      <c r="I1667" s="105"/>
      <c r="J1667" s="630"/>
      <c r="K1667" s="186"/>
      <c r="L1667" s="186">
        <v>300</v>
      </c>
      <c r="M1667" s="582"/>
      <c r="N1667" s="203">
        <f t="shared" si="252"/>
        <v>300</v>
      </c>
      <c r="O1667" s="582"/>
      <c r="P1667" s="647" t="s">
        <v>110</v>
      </c>
      <c r="Q1667" s="1136" t="s">
        <v>105</v>
      </c>
      <c r="R1667" s="1003"/>
      <c r="S1667" s="1003"/>
      <c r="T1667" s="1115"/>
      <c r="V1667" s="12" t="s">
        <v>444</v>
      </c>
    </row>
    <row r="1668" spans="2:22" ht="30">
      <c r="B1668" s="668" t="s">
        <v>428</v>
      </c>
      <c r="C1668" s="668"/>
      <c r="D1668" s="77" t="s">
        <v>4419</v>
      </c>
      <c r="E1668" s="419">
        <v>41204</v>
      </c>
      <c r="F1668" s="419" t="s">
        <v>4965</v>
      </c>
      <c r="G1668" s="1103" t="s">
        <v>5683</v>
      </c>
      <c r="H1668" s="1103"/>
      <c r="I1668" s="105"/>
      <c r="J1668" s="630"/>
      <c r="K1668" s="186"/>
      <c r="L1668" s="186">
        <v>200</v>
      </c>
      <c r="M1668" s="582"/>
      <c r="N1668" s="203">
        <f t="shared" si="252"/>
        <v>200</v>
      </c>
      <c r="O1668" s="582"/>
      <c r="P1668" s="647" t="s">
        <v>110</v>
      </c>
      <c r="Q1668" s="1136" t="s">
        <v>105</v>
      </c>
      <c r="R1668" s="1003">
        <v>200</v>
      </c>
      <c r="S1668" s="1003">
        <v>84</v>
      </c>
      <c r="T1668" s="1115" t="s">
        <v>4420</v>
      </c>
      <c r="V1668" s="12" t="s">
        <v>444</v>
      </c>
    </row>
    <row r="1669" spans="2:22" ht="30">
      <c r="B1669" s="668" t="s">
        <v>428</v>
      </c>
      <c r="C1669" s="668"/>
      <c r="D1669" s="77" t="s">
        <v>4421</v>
      </c>
      <c r="E1669" s="419">
        <v>41218</v>
      </c>
      <c r="F1669" s="419" t="s">
        <v>4965</v>
      </c>
      <c r="G1669" s="1103" t="s">
        <v>5683</v>
      </c>
      <c r="H1669" s="1103"/>
      <c r="I1669" s="105"/>
      <c r="J1669" s="630"/>
      <c r="K1669" s="186"/>
      <c r="L1669" s="186">
        <v>1000</v>
      </c>
      <c r="M1669" s="582"/>
      <c r="N1669" s="203">
        <f t="shared" si="252"/>
        <v>1000</v>
      </c>
      <c r="O1669" s="582"/>
      <c r="P1669" s="647" t="s">
        <v>110</v>
      </c>
      <c r="Q1669" s="1136" t="s">
        <v>105</v>
      </c>
      <c r="R1669" s="1003">
        <v>1000</v>
      </c>
      <c r="S1669" s="1003">
        <v>232.44</v>
      </c>
      <c r="T1669" s="1115" t="s">
        <v>4422</v>
      </c>
      <c r="V1669" s="12" t="s">
        <v>444</v>
      </c>
    </row>
    <row r="1670" spans="2:22" ht="30">
      <c r="B1670" s="668" t="s">
        <v>428</v>
      </c>
      <c r="C1670" s="668"/>
      <c r="D1670" s="77" t="s">
        <v>4423</v>
      </c>
      <c r="E1670" s="419">
        <v>41221</v>
      </c>
      <c r="F1670" s="419" t="s">
        <v>4965</v>
      </c>
      <c r="G1670" s="1103" t="s">
        <v>5683</v>
      </c>
      <c r="H1670" s="1103"/>
      <c r="I1670" s="105"/>
      <c r="J1670" s="630"/>
      <c r="K1670" s="186"/>
      <c r="L1670" s="186">
        <v>500</v>
      </c>
      <c r="M1670" s="582"/>
      <c r="N1670" s="203">
        <f t="shared" si="252"/>
        <v>500</v>
      </c>
      <c r="O1670" s="582"/>
      <c r="P1670" s="647" t="s">
        <v>110</v>
      </c>
      <c r="Q1670" s="1136" t="s">
        <v>105</v>
      </c>
      <c r="R1670" s="1003">
        <v>500</v>
      </c>
      <c r="S1670" s="1003">
        <v>500</v>
      </c>
      <c r="T1670" s="1115" t="s">
        <v>4424</v>
      </c>
      <c r="V1670" s="12" t="s">
        <v>444</v>
      </c>
    </row>
    <row r="1671" spans="2:22" ht="30">
      <c r="B1671" s="668" t="s">
        <v>428</v>
      </c>
      <c r="C1671" s="668"/>
      <c r="D1671" s="77" t="s">
        <v>4425</v>
      </c>
      <c r="E1671" s="419">
        <v>41250</v>
      </c>
      <c r="F1671" s="419" t="s">
        <v>4965</v>
      </c>
      <c r="G1671" s="1103" t="s">
        <v>5683</v>
      </c>
      <c r="H1671" s="1103"/>
      <c r="I1671" s="105"/>
      <c r="J1671" s="630"/>
      <c r="K1671" s="186"/>
      <c r="L1671" s="186">
        <v>2000</v>
      </c>
      <c r="M1671" s="582"/>
      <c r="N1671" s="203">
        <f t="shared" si="252"/>
        <v>2000</v>
      </c>
      <c r="O1671" s="582"/>
      <c r="P1671" s="647" t="s">
        <v>110</v>
      </c>
      <c r="Q1671" s="1136" t="s">
        <v>105</v>
      </c>
      <c r="R1671" s="1003">
        <v>2000</v>
      </c>
      <c r="S1671" s="1003">
        <f>19+1981</f>
        <v>2000</v>
      </c>
      <c r="T1671" s="1115" t="s">
        <v>4426</v>
      </c>
      <c r="V1671" s="12" t="s">
        <v>444</v>
      </c>
    </row>
    <row r="1672" spans="2:22" ht="30">
      <c r="B1672" s="668" t="s">
        <v>428</v>
      </c>
      <c r="C1672" s="668"/>
      <c r="D1672" s="77" t="s">
        <v>4427</v>
      </c>
      <c r="E1672" s="419">
        <v>41250</v>
      </c>
      <c r="F1672" s="419" t="s">
        <v>4965</v>
      </c>
      <c r="G1672" s="1103" t="s">
        <v>5683</v>
      </c>
      <c r="H1672" s="1103"/>
      <c r="I1672" s="105"/>
      <c r="J1672" s="630"/>
      <c r="K1672" s="186"/>
      <c r="L1672" s="186">
        <v>2000</v>
      </c>
      <c r="M1672" s="582"/>
      <c r="N1672" s="203">
        <f t="shared" si="252"/>
        <v>2000</v>
      </c>
      <c r="O1672" s="582"/>
      <c r="P1672" s="647" t="s">
        <v>110</v>
      </c>
      <c r="Q1672" s="1136" t="s">
        <v>105</v>
      </c>
      <c r="R1672" s="1003">
        <v>2000</v>
      </c>
      <c r="S1672" s="1003">
        <v>1287</v>
      </c>
      <c r="T1672" s="1115" t="s">
        <v>4428</v>
      </c>
      <c r="V1672" s="12" t="s">
        <v>444</v>
      </c>
    </row>
    <row r="1673" spans="2:22" ht="30">
      <c r="B1673" s="668" t="s">
        <v>428</v>
      </c>
      <c r="C1673" s="668"/>
      <c r="D1673" s="77" t="s">
        <v>4429</v>
      </c>
      <c r="E1673" s="419">
        <v>41250</v>
      </c>
      <c r="F1673" s="419" t="s">
        <v>4965</v>
      </c>
      <c r="G1673" s="1103" t="s">
        <v>5683</v>
      </c>
      <c r="H1673" s="1103"/>
      <c r="I1673" s="105"/>
      <c r="J1673" s="630"/>
      <c r="K1673" s="186"/>
      <c r="L1673" s="186">
        <v>250</v>
      </c>
      <c r="M1673" s="582"/>
      <c r="N1673" s="203">
        <f t="shared" si="252"/>
        <v>250</v>
      </c>
      <c r="O1673" s="582"/>
      <c r="P1673" s="647" t="s">
        <v>110</v>
      </c>
      <c r="Q1673" s="1136" t="s">
        <v>105</v>
      </c>
      <c r="R1673" s="1003">
        <v>250</v>
      </c>
      <c r="S1673" s="1003">
        <v>190</v>
      </c>
      <c r="T1673" s="1115" t="s">
        <v>4430</v>
      </c>
      <c r="V1673" s="12" t="s">
        <v>444</v>
      </c>
    </row>
    <row r="1674" spans="2:22" ht="30">
      <c r="B1674" s="668" t="s">
        <v>428</v>
      </c>
      <c r="C1674" s="668"/>
      <c r="D1674" s="77" t="s">
        <v>4431</v>
      </c>
      <c r="E1674" s="419">
        <v>41250</v>
      </c>
      <c r="F1674" s="419" t="s">
        <v>4965</v>
      </c>
      <c r="G1674" s="1103" t="s">
        <v>5683</v>
      </c>
      <c r="H1674" s="1103"/>
      <c r="I1674" s="105"/>
      <c r="J1674" s="630"/>
      <c r="K1674" s="186"/>
      <c r="L1674" s="186">
        <v>500</v>
      </c>
      <c r="M1674" s="582"/>
      <c r="N1674" s="203">
        <f t="shared" si="252"/>
        <v>500</v>
      </c>
      <c r="O1674" s="582"/>
      <c r="P1674" s="647" t="s">
        <v>110</v>
      </c>
      <c r="Q1674" s="1136" t="s">
        <v>105</v>
      </c>
      <c r="R1674" s="1003">
        <v>500</v>
      </c>
      <c r="S1674" s="1003">
        <v>258.77999999999997</v>
      </c>
      <c r="T1674" s="1115" t="s">
        <v>4432</v>
      </c>
      <c r="V1674" s="12" t="s">
        <v>444</v>
      </c>
    </row>
    <row r="1675" spans="2:22" ht="30">
      <c r="B1675" s="668" t="s">
        <v>428</v>
      </c>
      <c r="C1675" s="668"/>
      <c r="D1675" s="77" t="s">
        <v>4433</v>
      </c>
      <c r="E1675" s="419">
        <v>41250</v>
      </c>
      <c r="F1675" s="419" t="s">
        <v>4965</v>
      </c>
      <c r="G1675" s="1103" t="s">
        <v>5683</v>
      </c>
      <c r="H1675" s="1103"/>
      <c r="I1675" s="105"/>
      <c r="J1675" s="630"/>
      <c r="K1675" s="186"/>
      <c r="L1675" s="186">
        <v>1000</v>
      </c>
      <c r="M1675" s="582"/>
      <c r="N1675" s="203">
        <f t="shared" si="252"/>
        <v>1000</v>
      </c>
      <c r="O1675" s="582"/>
      <c r="P1675" s="647" t="s">
        <v>110</v>
      </c>
      <c r="Q1675" s="1136" t="s">
        <v>105</v>
      </c>
      <c r="R1675" s="1003">
        <v>1000</v>
      </c>
      <c r="S1675" s="1003">
        <v>1000</v>
      </c>
      <c r="T1675" s="1115" t="s">
        <v>4434</v>
      </c>
      <c r="V1675" s="12" t="s">
        <v>444</v>
      </c>
    </row>
    <row r="1676" spans="2:22" ht="30">
      <c r="B1676" s="668" t="s">
        <v>428</v>
      </c>
      <c r="C1676" s="668"/>
      <c r="D1676" s="77" t="s">
        <v>4435</v>
      </c>
      <c r="E1676" s="419">
        <v>41284</v>
      </c>
      <c r="F1676" s="419" t="s">
        <v>4965</v>
      </c>
      <c r="G1676" s="1103" t="s">
        <v>5683</v>
      </c>
      <c r="H1676" s="1103"/>
      <c r="I1676" s="105"/>
      <c r="J1676" s="630"/>
      <c r="K1676" s="186"/>
      <c r="L1676" s="186">
        <v>1000</v>
      </c>
      <c r="M1676" s="582"/>
      <c r="N1676" s="264">
        <f t="shared" si="252"/>
        <v>1000</v>
      </c>
      <c r="O1676" s="582"/>
      <c r="P1676" s="647" t="s">
        <v>110</v>
      </c>
      <c r="Q1676" s="1136" t="s">
        <v>105</v>
      </c>
      <c r="R1676" s="1003">
        <v>1000</v>
      </c>
      <c r="S1676" s="1003">
        <f>486.6+501.57</f>
        <v>988.17000000000007</v>
      </c>
      <c r="T1676" s="1115" t="s">
        <v>4436</v>
      </c>
      <c r="V1676" s="12" t="s">
        <v>444</v>
      </c>
    </row>
    <row r="1677" spans="2:22" ht="30">
      <c r="B1677" s="668" t="s">
        <v>428</v>
      </c>
      <c r="C1677" s="668"/>
      <c r="D1677" s="77" t="s">
        <v>4437</v>
      </c>
      <c r="E1677" s="419">
        <v>41289</v>
      </c>
      <c r="F1677" s="419" t="s">
        <v>4965</v>
      </c>
      <c r="G1677" s="1103" t="s">
        <v>5683</v>
      </c>
      <c r="H1677" s="1103"/>
      <c r="I1677" s="105"/>
      <c r="J1677" s="630"/>
      <c r="K1677" s="186"/>
      <c r="L1677" s="186">
        <v>300</v>
      </c>
      <c r="M1677" s="582"/>
      <c r="N1677" s="264">
        <f t="shared" si="252"/>
        <v>300</v>
      </c>
      <c r="O1677" s="582"/>
      <c r="P1677" s="647" t="s">
        <v>110</v>
      </c>
      <c r="Q1677" s="1136" t="s">
        <v>105</v>
      </c>
      <c r="R1677" s="1003">
        <v>300</v>
      </c>
      <c r="S1677" s="1003">
        <v>94</v>
      </c>
      <c r="T1677" s="1115" t="s">
        <v>4438</v>
      </c>
      <c r="V1677" s="12" t="s">
        <v>444</v>
      </c>
    </row>
    <row r="1678" spans="2:22" ht="30">
      <c r="B1678" s="668" t="s">
        <v>428</v>
      </c>
      <c r="C1678" s="668"/>
      <c r="D1678" s="77" t="s">
        <v>4439</v>
      </c>
      <c r="E1678" s="419">
        <v>41341</v>
      </c>
      <c r="F1678" s="419" t="s">
        <v>4965</v>
      </c>
      <c r="G1678" s="1103" t="s">
        <v>5683</v>
      </c>
      <c r="H1678" s="1103"/>
      <c r="I1678" s="105"/>
      <c r="J1678" s="630"/>
      <c r="K1678" s="186"/>
      <c r="L1678" s="186">
        <v>125</v>
      </c>
      <c r="M1678" s="582"/>
      <c r="N1678" s="264">
        <f t="shared" si="252"/>
        <v>125</v>
      </c>
      <c r="O1678" s="582"/>
      <c r="P1678" s="647" t="s">
        <v>110</v>
      </c>
      <c r="Q1678" s="1136" t="s">
        <v>105</v>
      </c>
      <c r="R1678" s="1003">
        <v>125</v>
      </c>
      <c r="S1678" s="1003"/>
      <c r="T1678" s="1115"/>
      <c r="V1678" s="12" t="s">
        <v>444</v>
      </c>
    </row>
    <row r="1680" spans="2:22">
      <c r="B1680" s="1207" t="s">
        <v>448</v>
      </c>
      <c r="C1680" s="1207"/>
      <c r="K1680" s="1204"/>
      <c r="L1680" s="1008">
        <f>SUM(L1681:L1693)</f>
        <v>29390</v>
      </c>
      <c r="M1680" s="1204"/>
      <c r="N1680" s="1008">
        <f>SUM(N1681:N1693)</f>
        <v>29390</v>
      </c>
      <c r="R1680" s="1008">
        <f t="shared" ref="R1680:S1680" si="253">SUM(R1681:R1693)</f>
        <v>0</v>
      </c>
      <c r="S1680" s="1008">
        <f t="shared" si="253"/>
        <v>0</v>
      </c>
    </row>
    <row r="1681" spans="1:22" ht="60">
      <c r="B1681" s="668" t="s">
        <v>4440</v>
      </c>
      <c r="C1681" s="668"/>
      <c r="D1681" s="77" t="s">
        <v>4441</v>
      </c>
      <c r="E1681" s="419">
        <v>41156</v>
      </c>
      <c r="F1681" s="419" t="s">
        <v>4625</v>
      </c>
      <c r="G1681" s="1103" t="s">
        <v>5685</v>
      </c>
      <c r="H1681" s="1103"/>
      <c r="I1681" s="105"/>
      <c r="J1681" s="630"/>
      <c r="K1681" s="186"/>
      <c r="L1681" s="186">
        <v>5000</v>
      </c>
      <c r="M1681" s="582"/>
      <c r="N1681" s="203">
        <f t="shared" ref="N1681:N1693" si="254">SUM(K1681:M1681)</f>
        <v>5000</v>
      </c>
      <c r="O1681" s="582"/>
      <c r="P1681" s="647" t="s">
        <v>110</v>
      </c>
      <c r="Q1681" s="1136" t="s">
        <v>105</v>
      </c>
      <c r="R1681" s="1003"/>
      <c r="S1681" s="1003"/>
      <c r="T1681" s="1115" t="s">
        <v>507</v>
      </c>
      <c r="U1681" s="102"/>
      <c r="V1681" s="12" t="s">
        <v>451</v>
      </c>
    </row>
    <row r="1682" spans="1:22" ht="60">
      <c r="B1682" s="668" t="s">
        <v>4442</v>
      </c>
      <c r="C1682" s="668"/>
      <c r="D1682" s="77" t="s">
        <v>4443</v>
      </c>
      <c r="E1682" s="419">
        <v>41171</v>
      </c>
      <c r="F1682" s="419" t="s">
        <v>4625</v>
      </c>
      <c r="G1682" s="1103" t="s">
        <v>5990</v>
      </c>
      <c r="H1682" s="1103"/>
      <c r="I1682" s="105"/>
      <c r="J1682" s="630"/>
      <c r="K1682" s="186"/>
      <c r="L1682" s="186">
        <v>720</v>
      </c>
      <c r="M1682" s="582"/>
      <c r="N1682" s="203">
        <f t="shared" si="254"/>
        <v>720</v>
      </c>
      <c r="O1682" s="582"/>
      <c r="P1682" s="647" t="s">
        <v>110</v>
      </c>
      <c r="Q1682" s="1136" t="s">
        <v>105</v>
      </c>
      <c r="R1682" s="1003"/>
      <c r="S1682" s="1003"/>
      <c r="T1682" s="1115" t="s">
        <v>507</v>
      </c>
      <c r="U1682" s="102"/>
      <c r="V1682" s="12" t="s">
        <v>451</v>
      </c>
    </row>
    <row r="1683" spans="1:22" ht="60">
      <c r="B1683" s="668" t="s">
        <v>4440</v>
      </c>
      <c r="C1683" s="668"/>
      <c r="D1683" s="77" t="s">
        <v>4444</v>
      </c>
      <c r="E1683" s="419">
        <v>41204</v>
      </c>
      <c r="F1683" s="419" t="s">
        <v>4625</v>
      </c>
      <c r="G1683" s="1103" t="s">
        <v>5991</v>
      </c>
      <c r="H1683" s="1103"/>
      <c r="I1683" s="105"/>
      <c r="J1683" s="630"/>
      <c r="K1683" s="186"/>
      <c r="L1683" s="186">
        <v>1200</v>
      </c>
      <c r="M1683" s="582"/>
      <c r="N1683" s="203">
        <f t="shared" si="254"/>
        <v>1200</v>
      </c>
      <c r="O1683" s="582"/>
      <c r="P1683" s="647" t="s">
        <v>110</v>
      </c>
      <c r="Q1683" s="1136" t="s">
        <v>105</v>
      </c>
      <c r="R1683" s="1003"/>
      <c r="S1683" s="1003"/>
      <c r="T1683" s="1115" t="s">
        <v>507</v>
      </c>
      <c r="U1683" s="102"/>
      <c r="V1683" s="12" t="s">
        <v>451</v>
      </c>
    </row>
    <row r="1684" spans="1:22" ht="60">
      <c r="B1684" s="668" t="s">
        <v>4442</v>
      </c>
      <c r="C1684" s="668"/>
      <c r="D1684" s="77" t="s">
        <v>4445</v>
      </c>
      <c r="E1684" s="419">
        <v>41253</v>
      </c>
      <c r="F1684" s="419" t="s">
        <v>4625</v>
      </c>
      <c r="G1684" s="1103" t="s">
        <v>5992</v>
      </c>
      <c r="H1684" s="1103"/>
      <c r="I1684" s="105"/>
      <c r="J1684" s="630"/>
      <c r="K1684" s="186"/>
      <c r="L1684" s="186">
        <v>6000</v>
      </c>
      <c r="M1684" s="582"/>
      <c r="N1684" s="203">
        <f t="shared" si="254"/>
        <v>6000</v>
      </c>
      <c r="O1684" s="582"/>
      <c r="P1684" s="647" t="s">
        <v>110</v>
      </c>
      <c r="Q1684" s="1136" t="s">
        <v>105</v>
      </c>
      <c r="R1684" s="1003"/>
      <c r="S1684" s="1003"/>
      <c r="T1684" s="1115" t="s">
        <v>507</v>
      </c>
      <c r="U1684" s="102"/>
      <c r="V1684" s="12" t="s">
        <v>451</v>
      </c>
    </row>
    <row r="1685" spans="1:22" ht="60">
      <c r="B1685" s="668" t="s">
        <v>4440</v>
      </c>
      <c r="C1685" s="668"/>
      <c r="D1685" s="77" t="s">
        <v>4446</v>
      </c>
      <c r="E1685" s="419">
        <v>41250</v>
      </c>
      <c r="F1685" s="419" t="s">
        <v>4625</v>
      </c>
      <c r="G1685" s="1103" t="s">
        <v>5993</v>
      </c>
      <c r="H1685" s="1103"/>
      <c r="I1685" s="105"/>
      <c r="J1685" s="630"/>
      <c r="K1685" s="186"/>
      <c r="L1685" s="186">
        <v>1440</v>
      </c>
      <c r="M1685" s="582"/>
      <c r="N1685" s="203">
        <f t="shared" si="254"/>
        <v>1440</v>
      </c>
      <c r="O1685" s="582"/>
      <c r="P1685" s="647" t="s">
        <v>110</v>
      </c>
      <c r="Q1685" s="1136" t="s">
        <v>105</v>
      </c>
      <c r="R1685" s="1003"/>
      <c r="S1685" s="1003"/>
      <c r="T1685" s="1115" t="s">
        <v>507</v>
      </c>
      <c r="U1685" s="102"/>
      <c r="V1685" s="12" t="s">
        <v>451</v>
      </c>
    </row>
    <row r="1686" spans="1:22" ht="60">
      <c r="B1686" s="668" t="s">
        <v>4442</v>
      </c>
      <c r="C1686" s="668"/>
      <c r="D1686" s="77" t="s">
        <v>4447</v>
      </c>
      <c r="E1686" s="419">
        <v>41256</v>
      </c>
      <c r="F1686" s="419" t="s">
        <v>4625</v>
      </c>
      <c r="G1686" s="1103" t="s">
        <v>5994</v>
      </c>
      <c r="H1686" s="1103"/>
      <c r="I1686" s="105"/>
      <c r="J1686" s="630"/>
      <c r="K1686" s="186"/>
      <c r="L1686" s="186">
        <v>4000</v>
      </c>
      <c r="M1686" s="582"/>
      <c r="N1686" s="203">
        <f t="shared" si="254"/>
        <v>4000</v>
      </c>
      <c r="O1686" s="582"/>
      <c r="P1686" s="647" t="s">
        <v>110</v>
      </c>
      <c r="Q1686" s="1136" t="s">
        <v>105</v>
      </c>
      <c r="R1686" s="1003"/>
      <c r="S1686" s="1003"/>
      <c r="T1686" s="1115" t="s">
        <v>507</v>
      </c>
      <c r="U1686" s="102"/>
      <c r="V1686" s="12" t="s">
        <v>451</v>
      </c>
    </row>
    <row r="1687" spans="1:22" ht="60">
      <c r="B1687" s="668" t="s">
        <v>4442</v>
      </c>
      <c r="C1687" s="668"/>
      <c r="D1687" s="77" t="s">
        <v>4448</v>
      </c>
      <c r="E1687" s="419">
        <v>41256</v>
      </c>
      <c r="F1687" s="419" t="s">
        <v>4625</v>
      </c>
      <c r="G1687" s="1103" t="s">
        <v>5995</v>
      </c>
      <c r="H1687" s="1103"/>
      <c r="I1687" s="105"/>
      <c r="J1687" s="630"/>
      <c r="K1687" s="186"/>
      <c r="L1687" s="186">
        <v>190</v>
      </c>
      <c r="M1687" s="582"/>
      <c r="N1687" s="203">
        <f t="shared" si="254"/>
        <v>190</v>
      </c>
      <c r="O1687" s="582"/>
      <c r="P1687" s="647" t="s">
        <v>110</v>
      </c>
      <c r="Q1687" s="1136" t="s">
        <v>105</v>
      </c>
      <c r="R1687" s="1003"/>
      <c r="S1687" s="1003"/>
      <c r="T1687" s="1115" t="s">
        <v>507</v>
      </c>
      <c r="U1687" s="102"/>
      <c r="V1687" s="12" t="s">
        <v>451</v>
      </c>
    </row>
    <row r="1688" spans="1:22" ht="60">
      <c r="B1688" s="668" t="s">
        <v>2683</v>
      </c>
      <c r="C1688" s="668"/>
      <c r="D1688" s="77" t="s">
        <v>4449</v>
      </c>
      <c r="E1688" s="419">
        <v>41295</v>
      </c>
      <c r="F1688" s="419" t="s">
        <v>4625</v>
      </c>
      <c r="G1688" s="72" t="s">
        <v>5685</v>
      </c>
      <c r="H1688" s="1103"/>
      <c r="I1688" s="105"/>
      <c r="J1688" s="630"/>
      <c r="K1688" s="186"/>
      <c r="L1688" s="186">
        <v>1000</v>
      </c>
      <c r="M1688" s="582"/>
      <c r="N1688" s="264">
        <f t="shared" si="254"/>
        <v>1000</v>
      </c>
      <c r="O1688" s="582"/>
      <c r="P1688" s="647" t="s">
        <v>110</v>
      </c>
      <c r="Q1688" s="1136" t="s">
        <v>105</v>
      </c>
      <c r="R1688" s="1003"/>
      <c r="S1688" s="1003"/>
      <c r="T1688" s="1115" t="s">
        <v>507</v>
      </c>
      <c r="U1688" s="102"/>
      <c r="V1688" s="12" t="s">
        <v>451</v>
      </c>
    </row>
    <row r="1689" spans="1:22" ht="60">
      <c r="B1689" s="668" t="s">
        <v>4442</v>
      </c>
      <c r="C1689" s="668"/>
      <c r="D1689" s="77" t="s">
        <v>4450</v>
      </c>
      <c r="E1689" s="419">
        <v>41295</v>
      </c>
      <c r="F1689" s="419" t="s">
        <v>4625</v>
      </c>
      <c r="G1689" s="72" t="s">
        <v>5990</v>
      </c>
      <c r="H1689" s="1103"/>
      <c r="I1689" s="105"/>
      <c r="J1689" s="630"/>
      <c r="K1689" s="186"/>
      <c r="L1689" s="186">
        <v>1440</v>
      </c>
      <c r="M1689" s="582"/>
      <c r="N1689" s="264">
        <f t="shared" si="254"/>
        <v>1440</v>
      </c>
      <c r="O1689" s="582"/>
      <c r="P1689" s="647" t="s">
        <v>110</v>
      </c>
      <c r="Q1689" s="1136" t="s">
        <v>105</v>
      </c>
      <c r="R1689" s="971"/>
      <c r="S1689" s="971"/>
      <c r="T1689" s="1115" t="s">
        <v>507</v>
      </c>
      <c r="U1689" s="102"/>
      <c r="V1689" s="12" t="s">
        <v>451</v>
      </c>
    </row>
    <row r="1690" spans="1:22" ht="60">
      <c r="B1690" s="668" t="s">
        <v>449</v>
      </c>
      <c r="C1690" s="668"/>
      <c r="D1690" s="77" t="s">
        <v>4451</v>
      </c>
      <c r="E1690" s="419">
        <v>41318</v>
      </c>
      <c r="F1690" s="419" t="s">
        <v>4625</v>
      </c>
      <c r="G1690" s="72" t="s">
        <v>5991</v>
      </c>
      <c r="H1690" s="1103"/>
      <c r="I1690" s="105"/>
      <c r="J1690" s="630"/>
      <c r="K1690" s="186"/>
      <c r="L1690" s="186">
        <v>2000</v>
      </c>
      <c r="M1690" s="582"/>
      <c r="N1690" s="264">
        <f t="shared" si="254"/>
        <v>2000</v>
      </c>
      <c r="O1690" s="582"/>
      <c r="P1690" s="647" t="s">
        <v>110</v>
      </c>
      <c r="Q1690" s="1136" t="s">
        <v>105</v>
      </c>
      <c r="R1690" s="971"/>
      <c r="S1690" s="971"/>
      <c r="T1690" s="1115" t="s">
        <v>507</v>
      </c>
      <c r="U1690" s="102"/>
      <c r="V1690" s="12" t="s">
        <v>451</v>
      </c>
    </row>
    <row r="1691" spans="1:22" ht="60">
      <c r="B1691" s="668" t="s">
        <v>449</v>
      </c>
      <c r="C1691" s="668"/>
      <c r="D1691" s="77" t="s">
        <v>4452</v>
      </c>
      <c r="E1691" s="419">
        <v>41347</v>
      </c>
      <c r="F1691" s="419" t="s">
        <v>4625</v>
      </c>
      <c r="G1691" s="72" t="s">
        <v>5992</v>
      </c>
      <c r="H1691" s="1103"/>
      <c r="I1691" s="105"/>
      <c r="J1691" s="630"/>
      <c r="K1691" s="186"/>
      <c r="L1691" s="186">
        <v>3000</v>
      </c>
      <c r="M1691" s="582"/>
      <c r="N1691" s="264">
        <f t="shared" si="254"/>
        <v>3000</v>
      </c>
      <c r="O1691" s="582"/>
      <c r="P1691" s="647" t="s">
        <v>110</v>
      </c>
      <c r="Q1691" s="1136" t="s">
        <v>105</v>
      </c>
      <c r="R1691" s="971"/>
      <c r="S1691" s="971"/>
      <c r="T1691" s="1115" t="s">
        <v>507</v>
      </c>
      <c r="U1691" s="102"/>
      <c r="V1691" s="12" t="s">
        <v>451</v>
      </c>
    </row>
    <row r="1692" spans="1:22" ht="60">
      <c r="B1692" s="668" t="s">
        <v>449</v>
      </c>
      <c r="C1692" s="668"/>
      <c r="D1692" s="77" t="s">
        <v>4453</v>
      </c>
      <c r="E1692" s="419">
        <v>41348</v>
      </c>
      <c r="F1692" s="419" t="s">
        <v>4625</v>
      </c>
      <c r="G1692" s="72" t="s">
        <v>5993</v>
      </c>
      <c r="H1692" s="1103"/>
      <c r="I1692" s="105"/>
      <c r="J1692" s="630"/>
      <c r="K1692" s="186"/>
      <c r="L1692" s="186">
        <v>2000</v>
      </c>
      <c r="M1692" s="582"/>
      <c r="N1692" s="264">
        <f t="shared" si="254"/>
        <v>2000</v>
      </c>
      <c r="O1692" s="582"/>
      <c r="P1692" s="647" t="s">
        <v>110</v>
      </c>
      <c r="Q1692" s="1136" t="s">
        <v>105</v>
      </c>
      <c r="R1692" s="971"/>
      <c r="S1692" s="971"/>
      <c r="T1692" s="1115" t="s">
        <v>507</v>
      </c>
      <c r="U1692" s="102"/>
      <c r="V1692" s="12" t="s">
        <v>451</v>
      </c>
    </row>
    <row r="1693" spans="1:22" ht="60">
      <c r="B1693" s="668" t="s">
        <v>449</v>
      </c>
      <c r="C1693" s="668"/>
      <c r="D1693" s="77" t="s">
        <v>4454</v>
      </c>
      <c r="E1693" s="419">
        <v>41446</v>
      </c>
      <c r="F1693" s="419" t="s">
        <v>4625</v>
      </c>
      <c r="G1693" s="72" t="s">
        <v>5994</v>
      </c>
      <c r="H1693" s="1103"/>
      <c r="I1693" s="105"/>
      <c r="J1693" s="630"/>
      <c r="K1693" s="186"/>
      <c r="L1693" s="186">
        <v>1400</v>
      </c>
      <c r="M1693" s="582"/>
      <c r="N1693" s="264">
        <f t="shared" si="254"/>
        <v>1400</v>
      </c>
      <c r="O1693" s="582"/>
      <c r="P1693" s="647" t="s">
        <v>110</v>
      </c>
      <c r="Q1693" s="1136" t="s">
        <v>105</v>
      </c>
      <c r="R1693" s="971"/>
      <c r="S1693" s="971"/>
      <c r="T1693" s="1115" t="s">
        <v>507</v>
      </c>
      <c r="U1693" s="102"/>
      <c r="V1693" s="12" t="s">
        <v>451</v>
      </c>
    </row>
    <row r="1695" spans="1:22">
      <c r="A1695" s="1200" t="s">
        <v>4876</v>
      </c>
      <c r="B1695" s="1235" t="s">
        <v>4875</v>
      </c>
      <c r="C1695" s="119"/>
      <c r="J1695" s="1004">
        <v>1400000</v>
      </c>
      <c r="V1695" s="119"/>
    </row>
    <row r="1697" spans="1:22">
      <c r="A1697" s="1200" t="s">
        <v>4877</v>
      </c>
      <c r="B1697" s="1235" t="s">
        <v>4878</v>
      </c>
    </row>
    <row r="1699" spans="1:22">
      <c r="A1699" s="1041" t="s">
        <v>4880</v>
      </c>
      <c r="B1699" s="119" t="s">
        <v>4879</v>
      </c>
      <c r="C1699" s="119"/>
      <c r="J1699" s="1004">
        <v>1337091</v>
      </c>
      <c r="K1699" s="1008">
        <f>K1700+K1703+K1706</f>
        <v>11393.34</v>
      </c>
      <c r="L1699" s="1008">
        <f t="shared" ref="L1699:N1699" si="255">L1700+L1703+L1706</f>
        <v>1321374.8599999999</v>
      </c>
      <c r="M1699" s="1008"/>
      <c r="N1699" s="1008">
        <f t="shared" si="255"/>
        <v>1332768.2</v>
      </c>
      <c r="P1699" s="1233"/>
      <c r="R1699" s="1008">
        <f t="shared" ref="R1699:S1699" si="256">R1700+R1703+R1706</f>
        <v>1331305</v>
      </c>
      <c r="S1699" s="1008">
        <f t="shared" si="256"/>
        <v>1331267</v>
      </c>
    </row>
    <row r="1700" spans="1:22">
      <c r="B1700" s="1197" t="s">
        <v>585</v>
      </c>
      <c r="C1700" s="1197"/>
      <c r="K1700" s="1199"/>
      <c r="L1700" s="1008">
        <f>SUM(L1701)</f>
        <v>6764.0039999999999</v>
      </c>
      <c r="M1700" s="1199"/>
      <c r="N1700" s="1008">
        <f>SUM(N1701)</f>
        <v>6764.0039999999999</v>
      </c>
      <c r="R1700" s="1008">
        <f t="shared" ref="R1700:S1700" si="257">SUM(R1701)</f>
        <v>6764</v>
      </c>
      <c r="S1700" s="1008">
        <f t="shared" si="257"/>
        <v>6727</v>
      </c>
    </row>
    <row r="1701" spans="1:22" ht="30">
      <c r="B1701" s="1101"/>
      <c r="C1701" s="1101"/>
      <c r="D1701" s="182" t="s">
        <v>4456</v>
      </c>
      <c r="E1701" s="419">
        <v>41136</v>
      </c>
      <c r="F1701" s="419" t="s">
        <v>622</v>
      </c>
      <c r="G1701" s="185" t="s">
        <v>5996</v>
      </c>
      <c r="H1701" s="185" t="s">
        <v>4455</v>
      </c>
      <c r="I1701" s="186">
        <v>409962</v>
      </c>
      <c r="J1701" s="186"/>
      <c r="L1701" s="186">
        <v>6764.0039999999999</v>
      </c>
      <c r="N1701" s="264">
        <f t="shared" ref="N1701" si="258">SUM(K1701:M1701)</f>
        <v>6764.0039999999999</v>
      </c>
      <c r="O1701" s="1233">
        <f>I1701+N1701</f>
        <v>416726.00400000002</v>
      </c>
      <c r="P1701" s="647" t="s">
        <v>110</v>
      </c>
      <c r="Q1701" s="1136" t="s">
        <v>105</v>
      </c>
      <c r="R1701" s="1003">
        <v>6764</v>
      </c>
      <c r="S1701" s="1003">
        <v>6727</v>
      </c>
      <c r="T1701" s="1115" t="s">
        <v>6201</v>
      </c>
      <c r="V1701" s="12" t="s">
        <v>4457</v>
      </c>
    </row>
    <row r="1703" spans="1:22">
      <c r="B1703" s="1197" t="s">
        <v>2787</v>
      </c>
      <c r="C1703" s="1197"/>
      <c r="K1703" s="1008">
        <f>SUM(K1704)</f>
        <v>11393.34</v>
      </c>
      <c r="L1703" s="1008"/>
      <c r="M1703" s="1199"/>
      <c r="N1703" s="1008">
        <f>SUM(N1704)</f>
        <v>11393.34</v>
      </c>
      <c r="R1703" s="1008">
        <f t="shared" ref="R1703:S1703" si="259">SUM(R1704)</f>
        <v>9930</v>
      </c>
      <c r="S1703" s="1008">
        <f t="shared" si="259"/>
        <v>9930</v>
      </c>
    </row>
    <row r="1704" spans="1:22" ht="30">
      <c r="B1704" s="198"/>
      <c r="C1704" s="198"/>
      <c r="D1704" s="182" t="s">
        <v>3247</v>
      </c>
      <c r="E1704" s="78">
        <v>41127</v>
      </c>
      <c r="F1704" s="78" t="s">
        <v>4965</v>
      </c>
      <c r="G1704" s="185" t="s">
        <v>543</v>
      </c>
      <c r="H1704" s="98"/>
      <c r="I1704" s="264">
        <v>152521</v>
      </c>
      <c r="J1704" s="264"/>
      <c r="K1704" s="264">
        <v>11393.34</v>
      </c>
      <c r="N1704" s="264">
        <f t="shared" ref="N1704" si="260">SUM(K1704:M1704)</f>
        <v>11393.34</v>
      </c>
      <c r="O1704" s="1233">
        <f>I1704+N1704</f>
        <v>163914.34</v>
      </c>
      <c r="P1704" s="647" t="s">
        <v>110</v>
      </c>
      <c r="Q1704" s="1136" t="s">
        <v>105</v>
      </c>
      <c r="R1704" s="1003">
        <v>9930</v>
      </c>
      <c r="S1704" s="1003">
        <v>9930</v>
      </c>
      <c r="T1704" s="1115" t="s">
        <v>6102</v>
      </c>
      <c r="V1704" s="118" t="s">
        <v>2794</v>
      </c>
    </row>
    <row r="1706" spans="1:22">
      <c r="B1706" s="1197" t="s">
        <v>138</v>
      </c>
      <c r="C1706" s="1197"/>
      <c r="K1706" s="1199"/>
      <c r="L1706" s="1008">
        <f>SUM(L1707)</f>
        <v>1314610.8559999999</v>
      </c>
      <c r="M1706" s="1199"/>
      <c r="N1706" s="1008">
        <f>SUM(N1707)</f>
        <v>1314610.8559999999</v>
      </c>
      <c r="R1706" s="1008">
        <f t="shared" ref="R1706:S1706" si="261">SUM(R1707)</f>
        <v>1314611</v>
      </c>
      <c r="S1706" s="1008">
        <f t="shared" si="261"/>
        <v>1314610</v>
      </c>
    </row>
    <row r="1707" spans="1:22" ht="60">
      <c r="B1707" s="1129"/>
      <c r="C1707" s="1129"/>
      <c r="D1707" s="182" t="s">
        <v>4458</v>
      </c>
      <c r="E1707" s="419">
        <v>41123</v>
      </c>
      <c r="F1707" s="419" t="s">
        <v>5998</v>
      </c>
      <c r="G1707" s="1129" t="s">
        <v>5997</v>
      </c>
      <c r="H1707" s="1129"/>
      <c r="I1707" s="186">
        <v>48043</v>
      </c>
      <c r="J1707" s="186"/>
      <c r="K1707" s="186"/>
      <c r="L1707" s="186">
        <v>1314610.8559999999</v>
      </c>
      <c r="M1707" s="203"/>
      <c r="N1707" s="203">
        <f>SUM(K1707:M1707)</f>
        <v>1314610.8559999999</v>
      </c>
      <c r="O1707" s="14">
        <f>L1707+N1707</f>
        <v>2629221.7119999998</v>
      </c>
      <c r="P1707" s="647" t="s">
        <v>110</v>
      </c>
      <c r="Q1707" s="1136" t="s">
        <v>105</v>
      </c>
      <c r="R1707" s="1003">
        <v>1314611</v>
      </c>
      <c r="S1707" s="1003">
        <v>1314610</v>
      </c>
      <c r="V1707" s="203" t="s">
        <v>278</v>
      </c>
    </row>
    <row r="1709" spans="1:22">
      <c r="A1709" s="1200" t="s">
        <v>4881</v>
      </c>
      <c r="B1709" s="1236" t="s">
        <v>4882</v>
      </c>
    </row>
    <row r="1711" spans="1:22">
      <c r="A1711" s="1041" t="s">
        <v>4884</v>
      </c>
      <c r="B1711" s="119" t="s">
        <v>4883</v>
      </c>
      <c r="C1711" s="119"/>
      <c r="J1711" s="1004">
        <v>250000</v>
      </c>
      <c r="K1711" s="1204"/>
      <c r="L1711" s="1204"/>
      <c r="M1711" s="1008">
        <f>M1712</f>
        <v>250000</v>
      </c>
      <c r="N1711" s="1008">
        <f>N1712</f>
        <v>250000</v>
      </c>
      <c r="R1711" s="1008">
        <f t="shared" ref="R1711:S1711" si="262">R1712</f>
        <v>0</v>
      </c>
      <c r="S1711" s="1008">
        <f t="shared" si="262"/>
        <v>0</v>
      </c>
    </row>
    <row r="1712" spans="1:22">
      <c r="B1712" s="1197" t="s">
        <v>4459</v>
      </c>
      <c r="C1712" s="1197"/>
      <c r="K1712" s="1204"/>
      <c r="L1712" s="1008"/>
      <c r="M1712" s="1008">
        <f>SUM(M1713)</f>
        <v>250000</v>
      </c>
      <c r="N1712" s="1008">
        <f>SUM(N1713)</f>
        <v>250000</v>
      </c>
      <c r="R1712" s="1008">
        <f t="shared" ref="R1712:S1712" si="263">SUM(R1713)</f>
        <v>0</v>
      </c>
      <c r="S1712" s="1008">
        <f t="shared" si="263"/>
        <v>0</v>
      </c>
    </row>
    <row r="1713" spans="2:22" ht="30">
      <c r="B1713" s="1101"/>
      <c r="C1713" s="1101"/>
      <c r="D1713" s="182" t="s">
        <v>4460</v>
      </c>
      <c r="E1713" s="419">
        <v>41113</v>
      </c>
      <c r="F1713" s="419" t="s">
        <v>622</v>
      </c>
      <c r="G1713" s="12" t="s">
        <v>4987</v>
      </c>
      <c r="H1713" s="14"/>
      <c r="I1713" s="676">
        <v>2752002</v>
      </c>
      <c r="J1713" s="609"/>
      <c r="M1713" s="14">
        <v>250000</v>
      </c>
      <c r="N1713" s="203">
        <f>SUM(K1713:M1713)</f>
        <v>250000</v>
      </c>
      <c r="O1713" s="1179">
        <f>I1713+N1713</f>
        <v>3002002</v>
      </c>
      <c r="P1713" s="647" t="s">
        <v>110</v>
      </c>
      <c r="Q1713" s="1136" t="s">
        <v>105</v>
      </c>
      <c r="R1713" s="1309" t="s">
        <v>6202</v>
      </c>
      <c r="S1713" s="1309"/>
      <c r="T1713" s="1309"/>
      <c r="V1713" s="14" t="s">
        <v>4647</v>
      </c>
    </row>
    <row r="1716" spans="2:22" ht="20.100000000000001" customHeight="1" thickBot="1">
      <c r="B1716" s="38" t="s">
        <v>4536</v>
      </c>
      <c r="C1716" s="199"/>
      <c r="D1716" s="32"/>
      <c r="E1716" s="671"/>
      <c r="F1716" s="671"/>
      <c r="G1716" s="31"/>
      <c r="H1716" s="31"/>
      <c r="I1716" s="31"/>
      <c r="J1716" s="1013">
        <f>J1711+J1699+J1695+J38+J34+J26+J22+J14+J9</f>
        <v>24959091</v>
      </c>
      <c r="K1716" s="1013">
        <f>K9+K14+K22+K26+K34+K38+K1695+K1699+K1711</f>
        <v>3473078.34</v>
      </c>
      <c r="L1716" s="1013">
        <f>L9+L14+L22+L26+L34+L38+L1695+L1699+L1711</f>
        <v>5535115.966</v>
      </c>
      <c r="M1716" s="1013">
        <f>M9+M14+M22+M26+M34+M38+M1695+M1699+M1711</f>
        <v>12202393.013</v>
      </c>
      <c r="N1716" s="1013">
        <f>N9+N14+N22+N26+N34+N38+N1695+N1699+N1711</f>
        <v>21210587.318999998</v>
      </c>
      <c r="O1716" s="31"/>
      <c r="R1716" s="1013">
        <f>R9+R14+R22+R26+R34+R38+R1695+R1699+R1711</f>
        <v>16110829.706470001</v>
      </c>
      <c r="S1716" s="1013">
        <f>S9+S14+S22+S26+S34+S38+S1695+S1699+S1711</f>
        <v>13925152.672969999</v>
      </c>
      <c r="T1716" s="1115"/>
      <c r="U1716" s="31"/>
      <c r="V1716" s="31"/>
    </row>
    <row r="1717" spans="2:22" ht="15.75" thickTop="1"/>
  </sheetData>
  <customSheetViews>
    <customSheetView guid="{0D143C80-1B42-417D-B6C0-C88521CF36C7}" showPageBreaks="1" printArea="1" hiddenColumns="1" view="pageBreakPreview">
      <pane xSplit="4" ySplit="5" topLeftCell="E962" activePane="bottomRight" state="frozen"/>
      <selection pane="bottomRight" sqref="A1:XFD1048576"/>
      <rowBreaks count="18" manualBreakCount="18">
        <brk id="37" max="20" man="1"/>
        <brk id="71" max="21" man="1"/>
        <brk id="104" max="21" man="1"/>
        <brk id="144" max="21" man="1"/>
        <brk id="189" max="21" man="1"/>
        <brk id="231" max="21" man="1"/>
        <brk id="332" max="21" man="1"/>
        <brk id="363" max="21" man="1"/>
        <brk id="464" max="21" man="1"/>
        <brk id="481" max="21" man="1"/>
        <brk id="563" max="21" man="1"/>
        <brk id="645" max="21" man="1"/>
        <brk id="672" max="21" man="1"/>
        <brk id="732" max="21" man="1"/>
        <brk id="814" max="21" man="1"/>
        <brk id="991" max="21" man="1"/>
        <brk id="1554" max="21" man="1"/>
        <brk id="1569" max="21" man="1"/>
      </rowBreaks>
      <pageMargins left="0" right="0" top="0.3" bottom="0.3" header="0.4" footer="0.25"/>
      <printOptions horizontalCentered="1"/>
      <pageSetup paperSize="9" scale="55" orientation="landscape" r:id="rId1"/>
      <headerFooter>
        <oddFooter>&amp;C&amp;8&amp;P of &amp;N&amp;R&amp;8as of 28Dec31</oddFooter>
      </headerFooter>
    </customSheetView>
    <customSheetView guid="{5032F846-223D-4C05-81F5-66ECC60A941D}" scale="90" showPageBreaks="1" printArea="1" hiddenColumns="1" view="pageBreakPreview">
      <pane xSplit="5" ySplit="5" topLeftCell="F1655" activePane="bottomRight" state="frozen"/>
      <selection pane="bottomRight" activeCell="F1661" sqref="F1661"/>
      <rowBreaks count="15" manualBreakCount="15">
        <brk id="33" max="19" man="1"/>
        <brk id="96" max="19" man="1"/>
        <brk id="130" max="19" man="1"/>
        <brk id="166" max="19" man="1"/>
        <brk id="205" max="19" man="1"/>
        <brk id="244" max="19" man="1"/>
        <brk id="371" max="19" man="1"/>
        <brk id="393" max="19" man="1"/>
        <brk id="482" max="19" man="1"/>
        <brk id="592" max="19" man="1"/>
        <brk id="668" max="19" man="1"/>
        <brk id="847" max="19" man="1"/>
        <brk id="1110" max="19" man="1"/>
        <brk id="1616" max="19" man="1"/>
        <brk id="1693" max="19" man="1"/>
      </rowBreaks>
      <pageMargins left="0.26" right="0" top="0.49" bottom="0.39" header="0.4" footer="0.25"/>
      <printOptions horizontalCentered="1"/>
      <pageSetup paperSize="9" scale="60" orientation="landscape" r:id="rId2"/>
      <headerFooter>
        <oddFooter>&amp;C&amp;8&amp;P of &amp;N&amp;R&amp;8as of 28Dec31</oddFooter>
      </headerFooter>
    </customSheetView>
  </customSheetViews>
  <mergeCells count="24">
    <mergeCell ref="R1713:T1713"/>
    <mergeCell ref="A4:B5"/>
    <mergeCell ref="S28:S29"/>
    <mergeCell ref="H4:H5"/>
    <mergeCell ref="D4:D5"/>
    <mergeCell ref="E4:E5"/>
    <mergeCell ref="C4:C5"/>
    <mergeCell ref="F4:G4"/>
    <mergeCell ref="U4:U5"/>
    <mergeCell ref="V4:V5"/>
    <mergeCell ref="I491:I493"/>
    <mergeCell ref="J4:J5"/>
    <mergeCell ref="O4:O5"/>
    <mergeCell ref="Q4:Q5"/>
    <mergeCell ref="P4:P5"/>
    <mergeCell ref="R4:T4"/>
    <mergeCell ref="I4:I5"/>
    <mergeCell ref="K4:M4"/>
    <mergeCell ref="N4:N5"/>
    <mergeCell ref="T10:T12"/>
    <mergeCell ref="T27:T29"/>
    <mergeCell ref="R11:R12"/>
    <mergeCell ref="S11:S12"/>
    <mergeCell ref="R28:R29"/>
  </mergeCells>
  <printOptions horizontalCentered="1"/>
  <pageMargins left="0" right="0" top="0.3" bottom="0.3" header="0.4" footer="0.25"/>
  <pageSetup paperSize="9" scale="55" orientation="landscape" r:id="rId3"/>
  <headerFooter>
    <oddFooter>&amp;C&amp;8&amp;P of &amp;N&amp;R&amp;8as of 28Dec31</oddFooter>
  </headerFooter>
  <rowBreaks count="18" manualBreakCount="18">
    <brk id="37" max="20" man="1"/>
    <brk id="71" max="21" man="1"/>
    <brk id="104" max="21" man="1"/>
    <brk id="144" max="21" man="1"/>
    <brk id="189" max="21" man="1"/>
    <brk id="231" max="21" man="1"/>
    <brk id="332" max="21" man="1"/>
    <brk id="363" max="21" man="1"/>
    <brk id="464" max="21" man="1"/>
    <brk id="481" max="21" man="1"/>
    <brk id="563" max="21" man="1"/>
    <brk id="645" max="21" man="1"/>
    <brk id="672" max="21" man="1"/>
    <brk id="732" max="21" man="1"/>
    <brk id="814" max="21" man="1"/>
    <brk id="991" max="21" man="1"/>
    <brk id="1554" max="21" man="1"/>
    <brk id="1569" max="21" man="1"/>
  </rowBreaks>
  <legacyDrawing r:id="rId4"/>
</worksheet>
</file>

<file path=xl/worksheets/sheet5.xml><?xml version="1.0" encoding="utf-8"?>
<worksheet xmlns="http://schemas.openxmlformats.org/spreadsheetml/2006/main" xmlns:r="http://schemas.openxmlformats.org/officeDocument/2006/relationships">
  <sheetPr codeName="Sheet3">
    <tabColor rgb="FFFFFF00"/>
  </sheetPr>
  <dimension ref="A1:JF731"/>
  <sheetViews>
    <sheetView view="pageBreakPreview" zoomScaleNormal="53" zoomScaleSheetLayoutView="100" workbookViewId="0">
      <pane xSplit="2" ySplit="5" topLeftCell="I27" activePane="bottomRight" state="frozen"/>
      <selection pane="topRight" activeCell="C1" sqref="C1"/>
      <selection pane="bottomLeft" activeCell="A6" sqref="A6"/>
      <selection pane="bottomRight" sqref="A1:XFD1048576"/>
    </sheetView>
  </sheetViews>
  <sheetFormatPr defaultRowHeight="15"/>
  <cols>
    <col min="1" max="1" width="4.85546875" style="3" customWidth="1"/>
    <col min="2" max="2" width="61.42578125" style="3" customWidth="1"/>
    <col min="3" max="3" width="11.85546875" style="3" customWidth="1"/>
    <col min="4" max="4" width="11.140625" style="680" customWidth="1"/>
    <col min="5" max="5" width="12.28515625" style="151" customWidth="1"/>
    <col min="6" max="6" width="30" style="169" customWidth="1"/>
    <col min="7" max="7" width="43.42578125" style="3" hidden="1" customWidth="1"/>
    <col min="8" max="8" width="11.28515625" style="3" hidden="1" customWidth="1"/>
    <col min="9" max="9" width="13.140625" style="137" customWidth="1"/>
    <col min="10" max="10" width="8.5703125" style="3" hidden="1" customWidth="1"/>
    <col min="11" max="11" width="11.7109375" style="3" hidden="1" customWidth="1"/>
    <col min="12" max="12" width="10.85546875" style="3" hidden="1" customWidth="1"/>
    <col min="13" max="13" width="11.7109375" style="3" customWidth="1"/>
    <col min="14" max="14" width="10.42578125" style="3" hidden="1" customWidth="1"/>
    <col min="15" max="16" width="10.42578125" style="46" customWidth="1"/>
    <col min="17" max="18" width="16" style="1036" customWidth="1"/>
    <col min="19" max="19" width="32.140625" style="1057" customWidth="1"/>
    <col min="20" max="20" width="11.140625" style="46" hidden="1" customWidth="1"/>
    <col min="21" max="21" width="15.28515625" style="3" customWidth="1"/>
    <col min="22" max="22" width="15.5703125" style="3" customWidth="1"/>
    <col min="23" max="16384" width="9.140625" style="3"/>
  </cols>
  <sheetData>
    <row r="1" spans="1:21" s="1" customFormat="1" ht="15" customHeight="1">
      <c r="A1" s="1" t="s">
        <v>4524</v>
      </c>
      <c r="D1" s="677"/>
      <c r="E1" s="948"/>
      <c r="F1" s="167"/>
      <c r="I1" s="122"/>
      <c r="O1" s="2"/>
      <c r="P1" s="2"/>
      <c r="Q1" s="2"/>
      <c r="R1" s="2"/>
      <c r="S1" s="167"/>
      <c r="T1" s="2"/>
    </row>
    <row r="2" spans="1:21" s="1" customFormat="1" ht="15" customHeight="1">
      <c r="A2" s="1" t="s">
        <v>0</v>
      </c>
      <c r="D2" s="677"/>
      <c r="E2" s="948"/>
      <c r="F2" s="167"/>
      <c r="I2" s="122"/>
      <c r="O2" s="2"/>
      <c r="P2" s="2"/>
      <c r="Q2" s="2"/>
      <c r="R2" s="2"/>
      <c r="S2" s="167"/>
      <c r="T2" s="2"/>
    </row>
    <row r="3" spans="1:21" s="1" customFormat="1" ht="15" customHeight="1">
      <c r="D3" s="677"/>
      <c r="E3" s="948"/>
      <c r="F3" s="167"/>
      <c r="I3" s="122"/>
      <c r="O3" s="2"/>
      <c r="P3" s="2"/>
      <c r="Q3" s="2"/>
      <c r="R3" s="2"/>
      <c r="S3" s="167"/>
      <c r="T3" s="2"/>
    </row>
    <row r="4" spans="1:21" ht="24.95" customHeight="1">
      <c r="A4" s="1317" t="s">
        <v>4470</v>
      </c>
      <c r="B4" s="1317"/>
      <c r="C4" s="1301" t="s">
        <v>2</v>
      </c>
      <c r="D4" s="1313" t="s">
        <v>3</v>
      </c>
      <c r="E4" s="1316" t="s">
        <v>4556</v>
      </c>
      <c r="F4" s="1316"/>
      <c r="G4" s="1266" t="s">
        <v>1</v>
      </c>
      <c r="H4" s="1302" t="s">
        <v>4</v>
      </c>
      <c r="I4" s="1292" t="s">
        <v>4477</v>
      </c>
      <c r="J4" s="1303" t="s">
        <v>90</v>
      </c>
      <c r="K4" s="1304"/>
      <c r="L4" s="1304"/>
      <c r="M4" s="1305" t="s">
        <v>90</v>
      </c>
      <c r="N4" s="1313" t="s">
        <v>5</v>
      </c>
      <c r="O4" s="1278" t="s">
        <v>4475</v>
      </c>
      <c r="P4" s="1278" t="s">
        <v>91</v>
      </c>
      <c r="Q4" s="1318" t="s">
        <v>113</v>
      </c>
      <c r="R4" s="1319"/>
      <c r="S4" s="1320"/>
      <c r="T4" s="1321" t="s">
        <v>6</v>
      </c>
      <c r="U4" s="1257" t="s">
        <v>7</v>
      </c>
    </row>
    <row r="5" spans="1:21" ht="24.95" customHeight="1">
      <c r="A5" s="1317"/>
      <c r="B5" s="1317"/>
      <c r="C5" s="1301"/>
      <c r="D5" s="1313"/>
      <c r="E5" s="1023" t="s">
        <v>4557</v>
      </c>
      <c r="F5" s="1099" t="s">
        <v>4558</v>
      </c>
      <c r="G5" s="1301"/>
      <c r="H5" s="1302"/>
      <c r="I5" s="1300"/>
      <c r="J5" s="1108" t="s">
        <v>8</v>
      </c>
      <c r="K5" s="1108" t="s">
        <v>9</v>
      </c>
      <c r="L5" s="1108" t="s">
        <v>10</v>
      </c>
      <c r="M5" s="1306"/>
      <c r="N5" s="1313"/>
      <c r="O5" s="1279"/>
      <c r="P5" s="1279"/>
      <c r="Q5" s="1106" t="s">
        <v>2818</v>
      </c>
      <c r="R5" s="1106" t="s">
        <v>148</v>
      </c>
      <c r="S5" s="1106" t="s">
        <v>149</v>
      </c>
      <c r="T5" s="1322"/>
      <c r="U5" s="1257"/>
    </row>
    <row r="6" spans="1:21">
      <c r="B6" s="1124"/>
      <c r="C6" s="49"/>
      <c r="D6" s="50"/>
      <c r="E6" s="949"/>
      <c r="F6" s="1124"/>
      <c r="G6" s="49"/>
      <c r="H6" s="51"/>
      <c r="I6" s="123"/>
      <c r="J6" s="49"/>
      <c r="K6" s="49"/>
      <c r="L6" s="49"/>
      <c r="M6" s="49"/>
      <c r="N6" s="50"/>
      <c r="O6" s="50"/>
      <c r="P6" s="50"/>
      <c r="Q6" s="50"/>
      <c r="R6" s="50"/>
      <c r="S6" s="338"/>
      <c r="T6" s="47"/>
      <c r="U6" s="52"/>
    </row>
    <row r="7" spans="1:21">
      <c r="B7" s="1124" t="s">
        <v>4476</v>
      </c>
      <c r="C7" s="49"/>
      <c r="D7" s="50"/>
      <c r="E7" s="949"/>
      <c r="F7" s="1124"/>
      <c r="G7" s="49"/>
      <c r="H7" s="51"/>
      <c r="I7" s="123"/>
      <c r="J7" s="49"/>
      <c r="K7" s="49"/>
      <c r="L7" s="49"/>
      <c r="M7" s="49"/>
      <c r="N7" s="50"/>
      <c r="O7" s="50"/>
      <c r="P7" s="50"/>
      <c r="Q7" s="50"/>
      <c r="R7" s="50"/>
      <c r="S7" s="338"/>
      <c r="T7" s="47"/>
      <c r="U7" s="52"/>
    </row>
    <row r="8" spans="1:21">
      <c r="B8" s="1124"/>
      <c r="C8" s="49"/>
      <c r="D8" s="50"/>
      <c r="E8" s="949"/>
      <c r="F8" s="1124"/>
      <c r="G8" s="49"/>
      <c r="H8" s="51"/>
      <c r="I8" s="123"/>
      <c r="J8" s="49"/>
      <c r="K8" s="49"/>
      <c r="L8" s="49"/>
      <c r="M8" s="49"/>
      <c r="N8" s="50"/>
      <c r="O8" s="50"/>
      <c r="P8" s="50"/>
      <c r="Q8" s="50"/>
      <c r="R8" s="50"/>
      <c r="S8" s="338"/>
      <c r="T8" s="47"/>
      <c r="U8" s="52"/>
    </row>
    <row r="9" spans="1:21">
      <c r="A9" s="753" t="s">
        <v>4817</v>
      </c>
      <c r="B9" s="754" t="s">
        <v>4818</v>
      </c>
      <c r="C9" s="49"/>
      <c r="D9" s="50"/>
      <c r="E9" s="949"/>
      <c r="F9" s="1124"/>
      <c r="G9" s="49"/>
      <c r="H9" s="51"/>
      <c r="I9" s="123"/>
      <c r="J9" s="49"/>
      <c r="K9" s="49"/>
      <c r="L9" s="49"/>
      <c r="M9" s="49"/>
      <c r="N9" s="50"/>
      <c r="O9" s="50"/>
      <c r="P9" s="50"/>
      <c r="Q9" s="50"/>
      <c r="R9" s="50"/>
      <c r="S9" s="338"/>
      <c r="T9" s="47"/>
      <c r="U9" s="52"/>
    </row>
    <row r="10" spans="1:21" s="9" customFormat="1">
      <c r="B10" s="754" t="s">
        <v>25</v>
      </c>
      <c r="C10" s="1140"/>
      <c r="D10" s="5"/>
      <c r="E10" s="949"/>
      <c r="F10" s="880"/>
      <c r="G10" s="4"/>
      <c r="H10" s="6"/>
      <c r="I10" s="123">
        <v>1600000</v>
      </c>
      <c r="J10" s="7">
        <f>J11</f>
        <v>0</v>
      </c>
      <c r="K10" s="7">
        <f t="shared" ref="K10:M10" si="0">K11</f>
        <v>1600000</v>
      </c>
      <c r="L10" s="7">
        <f t="shared" si="0"/>
        <v>0</v>
      </c>
      <c r="M10" s="7">
        <f t="shared" si="0"/>
        <v>1600000</v>
      </c>
      <c r="N10" s="6"/>
      <c r="O10" s="117"/>
      <c r="P10" s="117"/>
      <c r="Q10" s="7">
        <f t="shared" ref="Q10:R10" si="1">Q11</f>
        <v>1600000</v>
      </c>
      <c r="R10" s="7">
        <f t="shared" si="1"/>
        <v>1600000</v>
      </c>
      <c r="S10" s="339"/>
      <c r="T10" s="8"/>
    </row>
    <row r="11" spans="1:21" s="9" customFormat="1">
      <c r="B11" s="341" t="s">
        <v>11</v>
      </c>
      <c r="C11" s="1140"/>
      <c r="D11" s="5"/>
      <c r="E11" s="1137"/>
      <c r="F11" s="880"/>
      <c r="G11" s="4"/>
      <c r="H11" s="10">
        <v>537910</v>
      </c>
      <c r="I11" s="132"/>
      <c r="J11" s="11">
        <f>SUM(J12:J13)</f>
        <v>0</v>
      </c>
      <c r="K11" s="11">
        <f>SUM(K12:K13)</f>
        <v>1600000</v>
      </c>
      <c r="L11" s="11">
        <f>SUM(L12:L13)</f>
        <v>0</v>
      </c>
      <c r="M11" s="11">
        <f>SUM(M12:M13)</f>
        <v>1600000</v>
      </c>
      <c r="N11" s="10">
        <f>H11+M11</f>
        <v>2137910</v>
      </c>
      <c r="O11" s="1136"/>
      <c r="P11" s="1136"/>
      <c r="Q11" s="400">
        <f t="shared" ref="Q11:R11" si="2">SUM(Q12:Q13)</f>
        <v>1600000</v>
      </c>
      <c r="R11" s="400">
        <f t="shared" si="2"/>
        <v>1600000</v>
      </c>
      <c r="S11" s="339"/>
      <c r="T11" s="8"/>
    </row>
    <row r="12" spans="1:21" s="24" customFormat="1" ht="325.5" customHeight="1">
      <c r="B12" s="17" t="s">
        <v>13</v>
      </c>
      <c r="C12" s="19" t="s">
        <v>14</v>
      </c>
      <c r="D12" s="20">
        <v>40899</v>
      </c>
      <c r="E12" s="1138" t="s">
        <v>5004</v>
      </c>
      <c r="F12" s="18" t="s">
        <v>5713</v>
      </c>
      <c r="G12" s="18"/>
      <c r="H12" s="21"/>
      <c r="I12" s="130"/>
      <c r="J12" s="21">
        <v>43504</v>
      </c>
      <c r="K12" s="21">
        <v>1164518</v>
      </c>
      <c r="L12" s="21">
        <v>391978</v>
      </c>
      <c r="M12" s="22">
        <f>SUM(J12:L12)</f>
        <v>1600000</v>
      </c>
      <c r="N12" s="21"/>
      <c r="O12" s="163" t="s">
        <v>110</v>
      </c>
      <c r="P12" s="62" t="s">
        <v>102</v>
      </c>
      <c r="Q12" s="1054">
        <v>1600000</v>
      </c>
      <c r="R12" s="1054">
        <v>1600000</v>
      </c>
      <c r="S12" s="1055" t="s">
        <v>5835</v>
      </c>
      <c r="T12" s="23" t="s">
        <v>15</v>
      </c>
      <c r="U12" s="15" t="s">
        <v>12</v>
      </c>
    </row>
    <row r="13" spans="1:21" s="24" customFormat="1" ht="75">
      <c r="B13" s="17" t="s">
        <v>16</v>
      </c>
      <c r="C13" s="23" t="s">
        <v>17</v>
      </c>
      <c r="D13" s="20">
        <v>40906</v>
      </c>
      <c r="E13" s="1138" t="s">
        <v>5004</v>
      </c>
      <c r="F13" s="18" t="s">
        <v>5713</v>
      </c>
      <c r="G13" s="18"/>
      <c r="H13" s="1112"/>
      <c r="I13" s="130"/>
      <c r="J13" s="1112">
        <v>-43504</v>
      </c>
      <c r="K13" s="22">
        <v>435482</v>
      </c>
      <c r="L13" s="1112">
        <v>-391978</v>
      </c>
      <c r="M13" s="25">
        <f>SUM(J13:L13)</f>
        <v>0</v>
      </c>
      <c r="N13" s="1112"/>
      <c r="O13" s="163" t="s">
        <v>110</v>
      </c>
      <c r="P13" s="62" t="s">
        <v>102</v>
      </c>
      <c r="Q13" s="1054"/>
      <c r="R13" s="1054"/>
      <c r="S13" s="1104"/>
      <c r="T13" s="23" t="s">
        <v>15</v>
      </c>
      <c r="U13" s="15" t="s">
        <v>12</v>
      </c>
    </row>
    <row r="14" spans="1:21" s="24" customFormat="1" ht="17.25" customHeight="1">
      <c r="B14" s="17"/>
      <c r="C14" s="23"/>
      <c r="D14" s="20"/>
      <c r="E14" s="1138"/>
      <c r="F14" s="161"/>
      <c r="G14" s="18"/>
      <c r="H14" s="1112"/>
      <c r="I14" s="130"/>
      <c r="J14" s="1112"/>
      <c r="K14" s="22"/>
      <c r="L14" s="1112"/>
      <c r="M14" s="25"/>
      <c r="N14" s="1112"/>
      <c r="O14" s="163"/>
      <c r="P14" s="62"/>
      <c r="Q14" s="1054"/>
      <c r="R14" s="1054"/>
      <c r="S14" s="1104"/>
      <c r="T14" s="23"/>
      <c r="U14" s="15"/>
    </row>
    <row r="15" spans="1:21" s="24" customFormat="1" ht="17.25" customHeight="1">
      <c r="A15" s="753" t="s">
        <v>4819</v>
      </c>
      <c r="B15" s="754" t="s">
        <v>4820</v>
      </c>
      <c r="C15" s="23"/>
      <c r="D15" s="20"/>
      <c r="E15" s="949"/>
      <c r="F15" s="161"/>
      <c r="G15" s="18"/>
      <c r="H15" s="1112"/>
      <c r="I15" s="130"/>
      <c r="J15" s="1112"/>
      <c r="K15" s="22"/>
      <c r="L15" s="1112"/>
      <c r="M15" s="25"/>
      <c r="N15" s="1112"/>
      <c r="O15" s="163"/>
      <c r="P15" s="62"/>
      <c r="Q15" s="1054"/>
      <c r="R15" s="1054"/>
      <c r="S15" s="1104"/>
      <c r="T15" s="23"/>
      <c r="U15" s="15"/>
    </row>
    <row r="16" spans="1:21" s="113" customFormat="1">
      <c r="B16" s="754" t="s">
        <v>71</v>
      </c>
      <c r="C16" s="39"/>
      <c r="D16" s="678"/>
      <c r="E16" s="949"/>
      <c r="F16" s="168"/>
      <c r="G16" s="39"/>
      <c r="H16" s="109"/>
      <c r="I16" s="138">
        <v>450000</v>
      </c>
      <c r="J16" s="110">
        <f>J17</f>
        <v>0</v>
      </c>
      <c r="K16" s="110">
        <f>K17</f>
        <v>450000</v>
      </c>
      <c r="L16" s="110">
        <f>L17</f>
        <v>0</v>
      </c>
      <c r="M16" s="110">
        <f>M17</f>
        <v>450000</v>
      </c>
      <c r="N16" s="111"/>
      <c r="O16" s="155"/>
      <c r="P16" s="43"/>
      <c r="Q16" s="110">
        <f t="shared" ref="Q16:R16" si="3">Q17</f>
        <v>450000</v>
      </c>
      <c r="R16" s="110">
        <f t="shared" si="3"/>
        <v>450000</v>
      </c>
      <c r="S16" s="340"/>
      <c r="T16" s="165"/>
      <c r="U16" s="112"/>
    </row>
    <row r="17" spans="1:21" ht="30">
      <c r="B17" s="142" t="s">
        <v>92</v>
      </c>
      <c r="C17" s="108" t="s">
        <v>82</v>
      </c>
      <c r="D17" s="552">
        <v>40899</v>
      </c>
      <c r="E17" s="69" t="s">
        <v>4618</v>
      </c>
      <c r="F17" s="159" t="s">
        <v>4617</v>
      </c>
      <c r="G17" s="102"/>
      <c r="H17" s="67"/>
      <c r="I17" s="124"/>
      <c r="J17" s="21"/>
      <c r="K17" s="21">
        <v>450000</v>
      </c>
      <c r="L17" s="21"/>
      <c r="M17" s="22">
        <f>SUM(J17:L17)</f>
        <v>450000</v>
      </c>
      <c r="N17" s="21"/>
      <c r="O17" s="163" t="s">
        <v>110</v>
      </c>
      <c r="P17" s="1138" t="s">
        <v>102</v>
      </c>
      <c r="Q17" s="1054">
        <v>450000</v>
      </c>
      <c r="R17" s="1054">
        <v>450000</v>
      </c>
      <c r="S17" s="1112"/>
      <c r="T17" s="23" t="s">
        <v>15</v>
      </c>
      <c r="U17" s="12" t="s">
        <v>76</v>
      </c>
    </row>
    <row r="18" spans="1:21">
      <c r="B18" s="103"/>
      <c r="C18" s="108"/>
      <c r="D18" s="552"/>
      <c r="E18" s="214"/>
      <c r="F18" s="159"/>
      <c r="G18" s="102"/>
      <c r="H18" s="67"/>
      <c r="I18" s="124"/>
      <c r="J18" s="21"/>
      <c r="K18" s="21"/>
      <c r="L18" s="21"/>
      <c r="M18" s="22"/>
      <c r="N18" s="21"/>
      <c r="O18" s="58"/>
      <c r="P18" s="1138"/>
      <c r="Q18" s="37"/>
      <c r="R18" s="37"/>
      <c r="S18" s="1119"/>
      <c r="T18" s="23"/>
      <c r="U18" s="12"/>
    </row>
    <row r="19" spans="1:21">
      <c r="A19" s="753" t="s">
        <v>4821</v>
      </c>
      <c r="B19" s="53" t="s">
        <v>4822</v>
      </c>
      <c r="C19" s="108"/>
      <c r="D19" s="552"/>
      <c r="E19" s="949"/>
      <c r="F19" s="159"/>
      <c r="G19" s="102"/>
      <c r="H19" s="67"/>
      <c r="I19" s="124"/>
      <c r="J19" s="21"/>
      <c r="K19" s="21"/>
      <c r="L19" s="21"/>
      <c r="M19" s="22"/>
      <c r="N19" s="21"/>
      <c r="O19" s="58"/>
      <c r="P19" s="1138"/>
      <c r="Q19" s="37"/>
      <c r="R19" s="37"/>
      <c r="S19" s="1119"/>
      <c r="T19" s="23"/>
      <c r="U19" s="12"/>
    </row>
    <row r="20" spans="1:21" s="30" customFormat="1">
      <c r="B20" s="119" t="s">
        <v>89</v>
      </c>
      <c r="C20" s="41"/>
      <c r="D20" s="350"/>
      <c r="E20" s="69"/>
      <c r="F20" s="168"/>
      <c r="G20" s="41"/>
      <c r="H20" s="42"/>
      <c r="I20" s="139">
        <v>230000</v>
      </c>
      <c r="J20" s="100">
        <f>J21</f>
        <v>0</v>
      </c>
      <c r="K20" s="100">
        <f>K21</f>
        <v>230000</v>
      </c>
      <c r="L20" s="100">
        <f>L21</f>
        <v>0</v>
      </c>
      <c r="M20" s="100">
        <f>M21</f>
        <v>230000</v>
      </c>
      <c r="N20" s="42"/>
      <c r="O20" s="164"/>
      <c r="P20" s="43"/>
      <c r="Q20" s="100">
        <f t="shared" ref="Q20:R20" si="4">Q21</f>
        <v>230000</v>
      </c>
      <c r="R20" s="100">
        <f t="shared" si="4"/>
        <v>230000</v>
      </c>
      <c r="S20" s="1056"/>
      <c r="T20" s="43"/>
    </row>
    <row r="21" spans="1:21" ht="60">
      <c r="B21" s="143" t="s">
        <v>86</v>
      </c>
      <c r="C21" s="107" t="s">
        <v>87</v>
      </c>
      <c r="D21" s="679">
        <v>40899</v>
      </c>
      <c r="E21" s="826" t="s">
        <v>622</v>
      </c>
      <c r="F21" s="114" t="s">
        <v>5714</v>
      </c>
      <c r="G21" s="115"/>
      <c r="H21" s="116">
        <v>518621</v>
      </c>
      <c r="I21" s="136"/>
      <c r="J21" s="22"/>
      <c r="K21" s="22">
        <v>230000</v>
      </c>
      <c r="L21" s="22"/>
      <c r="M21" s="22">
        <f>SUM(J21:L21)</f>
        <v>230000</v>
      </c>
      <c r="N21" s="1188">
        <f>K21+H21</f>
        <v>748621</v>
      </c>
      <c r="O21" s="163" t="s">
        <v>110</v>
      </c>
      <c r="P21" s="151" t="s">
        <v>103</v>
      </c>
      <c r="Q21" s="1019">
        <v>230000</v>
      </c>
      <c r="R21" s="1019">
        <v>230000</v>
      </c>
      <c r="S21" s="1116" t="s">
        <v>6556</v>
      </c>
      <c r="T21" s="117"/>
      <c r="U21" s="118" t="s">
        <v>88</v>
      </c>
    </row>
    <row r="22" spans="1:21">
      <c r="B22" s="103"/>
      <c r="C22" s="108"/>
      <c r="D22" s="552"/>
      <c r="E22" s="214"/>
      <c r="F22" s="159"/>
      <c r="G22" s="102"/>
      <c r="H22" s="67"/>
      <c r="I22" s="124"/>
      <c r="J22" s="21"/>
      <c r="K22" s="21"/>
      <c r="L22" s="21"/>
      <c r="M22" s="22"/>
      <c r="N22" s="21"/>
      <c r="O22" s="58"/>
      <c r="P22" s="1138"/>
      <c r="Q22" s="37"/>
      <c r="R22" s="37"/>
      <c r="S22" s="1119"/>
      <c r="T22" s="23"/>
      <c r="U22" s="12"/>
    </row>
    <row r="23" spans="1:21">
      <c r="B23" s="53" t="s">
        <v>58</v>
      </c>
      <c r="E23" s="949"/>
      <c r="F23" s="738"/>
      <c r="G23" s="30"/>
      <c r="H23" s="30"/>
      <c r="I23" s="140">
        <f>SUM(I24:I31)</f>
        <v>3814291</v>
      </c>
      <c r="J23" s="140">
        <f>J34+J40</f>
        <v>0</v>
      </c>
      <c r="K23" s="140">
        <f t="shared" ref="K23:L23" si="5">K34+K40</f>
        <v>7190</v>
      </c>
      <c r="L23" s="140">
        <f t="shared" si="5"/>
        <v>3807101</v>
      </c>
      <c r="M23" s="140">
        <f>SUM(J23:L23)</f>
        <v>3814291</v>
      </c>
      <c r="Q23" s="140">
        <f t="shared" ref="Q23:R23" si="6">SUM(N23:P23)</f>
        <v>0</v>
      </c>
      <c r="R23" s="140">
        <f t="shared" si="6"/>
        <v>0</v>
      </c>
    </row>
    <row r="24" spans="1:21" s="81" customFormat="1" ht="30">
      <c r="A24" s="753" t="s">
        <v>4823</v>
      </c>
      <c r="B24" s="144" t="s">
        <v>60</v>
      </c>
      <c r="C24" s="62"/>
      <c r="D24" s="84"/>
      <c r="E24" s="163"/>
      <c r="F24" s="170"/>
      <c r="G24" s="67"/>
      <c r="H24" s="67"/>
      <c r="I24" s="67">
        <v>154403</v>
      </c>
      <c r="J24" s="84"/>
      <c r="K24" s="84"/>
      <c r="L24" s="67"/>
      <c r="M24" s="74"/>
      <c r="N24" s="15"/>
      <c r="O24" s="163" t="s">
        <v>110</v>
      </c>
      <c r="P24" s="62" t="s">
        <v>102</v>
      </c>
      <c r="Q24" s="1054"/>
      <c r="R24" s="1054"/>
      <c r="S24" s="1104"/>
      <c r="T24" s="62"/>
      <c r="U24" s="15" t="s">
        <v>61</v>
      </c>
    </row>
    <row r="25" spans="1:21" s="81" customFormat="1" ht="30">
      <c r="A25" s="753" t="s">
        <v>4824</v>
      </c>
      <c r="B25" s="144" t="s">
        <v>62</v>
      </c>
      <c r="C25" s="62"/>
      <c r="D25" s="84"/>
      <c r="E25" s="163"/>
      <c r="F25" s="170"/>
      <c r="G25" s="67"/>
      <c r="H25" s="90"/>
      <c r="I25" s="67">
        <v>295571</v>
      </c>
      <c r="J25" s="84"/>
      <c r="K25" s="84"/>
      <c r="L25" s="90"/>
      <c r="M25" s="74"/>
      <c r="N25" s="15"/>
      <c r="O25" s="163" t="s">
        <v>110</v>
      </c>
      <c r="P25" s="62" t="s">
        <v>102</v>
      </c>
      <c r="Q25" s="1054"/>
      <c r="R25" s="1054"/>
      <c r="S25" s="1104"/>
      <c r="T25" s="62"/>
      <c r="U25" s="15" t="s">
        <v>61</v>
      </c>
    </row>
    <row r="26" spans="1:21" s="81" customFormat="1" ht="30">
      <c r="A26" s="753" t="s">
        <v>4825</v>
      </c>
      <c r="B26" s="144" t="s">
        <v>4830</v>
      </c>
      <c r="C26" s="62"/>
      <c r="D26" s="84"/>
      <c r="E26" s="163"/>
      <c r="F26" s="170"/>
      <c r="G26" s="67"/>
      <c r="H26" s="67"/>
      <c r="I26" s="1136">
        <v>85755</v>
      </c>
      <c r="J26" s="84"/>
      <c r="K26" s="84"/>
      <c r="L26" s="67"/>
      <c r="M26" s="74"/>
      <c r="N26" s="15"/>
      <c r="O26" s="163" t="s">
        <v>110</v>
      </c>
      <c r="P26" s="62" t="s">
        <v>102</v>
      </c>
      <c r="Q26" s="1054"/>
      <c r="R26" s="1054"/>
      <c r="S26" s="1104"/>
      <c r="T26" s="62"/>
      <c r="U26" s="15" t="s">
        <v>61</v>
      </c>
    </row>
    <row r="27" spans="1:21" s="81" customFormat="1" ht="30">
      <c r="A27" s="753" t="s">
        <v>4826</v>
      </c>
      <c r="B27" s="144" t="s">
        <v>4828</v>
      </c>
      <c r="C27" s="62"/>
      <c r="D27" s="84"/>
      <c r="E27" s="163"/>
      <c r="F27" s="170"/>
      <c r="G27" s="67"/>
      <c r="H27" s="67"/>
      <c r="I27" s="1136">
        <v>45000</v>
      </c>
      <c r="J27" s="84"/>
      <c r="K27" s="84"/>
      <c r="L27" s="67"/>
      <c r="M27" s="74"/>
      <c r="N27" s="15"/>
      <c r="O27" s="163" t="s">
        <v>110</v>
      </c>
      <c r="P27" s="62" t="s">
        <v>102</v>
      </c>
      <c r="Q27" s="1054"/>
      <c r="R27" s="1054"/>
      <c r="S27" s="1104"/>
      <c r="T27" s="62"/>
      <c r="U27" s="15"/>
    </row>
    <row r="28" spans="1:21" s="81" customFormat="1" ht="30">
      <c r="A28" s="753" t="s">
        <v>4827</v>
      </c>
      <c r="B28" s="144" t="s">
        <v>4829</v>
      </c>
      <c r="C28" s="62"/>
      <c r="D28" s="84"/>
      <c r="E28" s="163"/>
      <c r="F28" s="170"/>
      <c r="G28" s="67"/>
      <c r="H28" s="67"/>
      <c r="I28" s="1136">
        <v>8722</v>
      </c>
      <c r="J28" s="84"/>
      <c r="K28" s="84"/>
      <c r="L28" s="67"/>
      <c r="M28" s="74"/>
      <c r="N28" s="15"/>
      <c r="O28" s="163" t="s">
        <v>110</v>
      </c>
      <c r="P28" s="62" t="s">
        <v>102</v>
      </c>
      <c r="Q28" s="1054"/>
      <c r="R28" s="1054"/>
      <c r="S28" s="1104"/>
      <c r="T28" s="62"/>
      <c r="U28" s="15"/>
    </row>
    <row r="29" spans="1:21" s="81" customFormat="1" ht="34.5" customHeight="1">
      <c r="A29" s="753" t="s">
        <v>4831</v>
      </c>
      <c r="B29" s="144" t="s">
        <v>4832</v>
      </c>
      <c r="C29" s="62"/>
      <c r="D29" s="84"/>
      <c r="E29" s="58"/>
      <c r="F29" s="170"/>
      <c r="G29" s="67"/>
      <c r="H29" s="90"/>
      <c r="I29" s="67">
        <v>20440</v>
      </c>
      <c r="J29" s="84"/>
      <c r="K29" s="84"/>
      <c r="L29" s="90"/>
      <c r="M29" s="74"/>
      <c r="N29" s="15"/>
      <c r="O29" s="163" t="s">
        <v>110</v>
      </c>
      <c r="P29" s="62" t="s">
        <v>102</v>
      </c>
      <c r="Q29" s="1054"/>
      <c r="R29" s="1054"/>
      <c r="S29" s="1104"/>
      <c r="T29" s="62"/>
      <c r="U29" s="15" t="s">
        <v>61</v>
      </c>
    </row>
    <row r="30" spans="1:21" s="81" customFormat="1" ht="30">
      <c r="A30" s="759"/>
      <c r="B30" s="144" t="s">
        <v>63</v>
      </c>
      <c r="C30" s="62"/>
      <c r="D30" s="84"/>
      <c r="E30" s="163"/>
      <c r="F30" s="170"/>
      <c r="G30" s="67"/>
      <c r="H30" s="90"/>
      <c r="I30" s="67">
        <v>145000</v>
      </c>
      <c r="J30" s="84"/>
      <c r="K30" s="84"/>
      <c r="L30" s="90"/>
      <c r="M30" s="74"/>
      <c r="N30" s="15"/>
      <c r="O30" s="163" t="s">
        <v>110</v>
      </c>
      <c r="P30" s="62" t="s">
        <v>102</v>
      </c>
      <c r="Q30" s="1054"/>
      <c r="R30" s="1054"/>
      <c r="S30" s="1104"/>
      <c r="T30" s="62"/>
      <c r="U30" s="15" t="s">
        <v>61</v>
      </c>
    </row>
    <row r="31" spans="1:21" s="81" customFormat="1" ht="30">
      <c r="A31" s="759"/>
      <c r="B31" s="144" t="s">
        <v>64</v>
      </c>
      <c r="C31" s="62"/>
      <c r="D31" s="84"/>
      <c r="E31" s="163"/>
      <c r="F31" s="170"/>
      <c r="G31" s="67"/>
      <c r="H31" s="67"/>
      <c r="I31" s="67">
        <v>3059400</v>
      </c>
      <c r="J31" s="84"/>
      <c r="K31" s="84"/>
      <c r="L31" s="67"/>
      <c r="M31" s="74"/>
      <c r="N31" s="15"/>
      <c r="O31" s="163" t="s">
        <v>110</v>
      </c>
      <c r="P31" s="62" t="s">
        <v>103</v>
      </c>
      <c r="Q31" s="1054"/>
      <c r="R31" s="1054"/>
      <c r="S31" s="1104"/>
      <c r="T31" s="62"/>
      <c r="U31" s="15" t="s">
        <v>61</v>
      </c>
    </row>
    <row r="32" spans="1:21" s="81" customFormat="1">
      <c r="B32" s="89"/>
      <c r="C32" s="62"/>
      <c r="D32" s="84"/>
      <c r="E32" s="163"/>
      <c r="F32" s="170"/>
      <c r="G32" s="67"/>
      <c r="H32" s="67"/>
      <c r="I32" s="131"/>
      <c r="J32" s="84"/>
      <c r="K32" s="84"/>
      <c r="L32" s="67"/>
      <c r="M32" s="74"/>
      <c r="N32" s="15"/>
      <c r="O32" s="62"/>
      <c r="P32" s="62"/>
      <c r="Q32" s="591"/>
      <c r="R32" s="591"/>
      <c r="S32" s="580"/>
      <c r="T32" s="62"/>
      <c r="U32" s="15"/>
    </row>
    <row r="33" spans="1:21" s="81" customFormat="1">
      <c r="C33" s="62"/>
      <c r="D33" s="84"/>
      <c r="E33" s="949"/>
      <c r="F33" s="170"/>
      <c r="G33" s="67"/>
      <c r="H33" s="67"/>
      <c r="I33" s="131"/>
      <c r="J33" s="84"/>
      <c r="K33" s="84"/>
      <c r="L33" s="67"/>
      <c r="M33" s="74"/>
      <c r="N33" s="15"/>
      <c r="O33" s="62"/>
      <c r="P33" s="62"/>
      <c r="Q33" s="591"/>
      <c r="R33" s="591"/>
      <c r="S33" s="580"/>
      <c r="T33" s="62"/>
      <c r="U33" s="15"/>
    </row>
    <row r="34" spans="1:21" s="24" customFormat="1">
      <c r="B34" s="53" t="s">
        <v>65</v>
      </c>
      <c r="C34" s="55"/>
      <c r="D34" s="56"/>
      <c r="E34" s="1137"/>
      <c r="F34" s="60"/>
      <c r="G34" s="28"/>
      <c r="H34" s="67"/>
      <c r="I34" s="124"/>
      <c r="J34" s="36">
        <f>J35</f>
        <v>0</v>
      </c>
      <c r="K34" s="36">
        <f t="shared" ref="K34:M34" si="7">K35</f>
        <v>0</v>
      </c>
      <c r="L34" s="36">
        <f t="shared" si="7"/>
        <v>3796351</v>
      </c>
      <c r="M34" s="36">
        <f t="shared" si="7"/>
        <v>3796351</v>
      </c>
      <c r="N34" s="22"/>
      <c r="O34" s="23"/>
      <c r="P34" s="62"/>
      <c r="Q34" s="36">
        <f t="shared" ref="Q34:R35" si="8">Q35</f>
        <v>0</v>
      </c>
      <c r="R34" s="36">
        <f t="shared" si="8"/>
        <v>3048650</v>
      </c>
      <c r="S34" s="106"/>
      <c r="T34" s="23"/>
      <c r="U34" s="15"/>
    </row>
    <row r="35" spans="1:21" s="81" customFormat="1">
      <c r="B35" s="341" t="s">
        <v>11</v>
      </c>
      <c r="D35" s="681"/>
      <c r="E35" s="58"/>
      <c r="F35" s="171"/>
      <c r="H35" s="67"/>
      <c r="I35" s="129"/>
      <c r="J35" s="87">
        <f>J36</f>
        <v>0</v>
      </c>
      <c r="K35" s="87">
        <f>K36</f>
        <v>0</v>
      </c>
      <c r="L35" s="87">
        <f>L36</f>
        <v>3796351</v>
      </c>
      <c r="M35" s="87">
        <f>M36</f>
        <v>3796351</v>
      </c>
      <c r="N35" s="15"/>
      <c r="O35" s="62"/>
      <c r="P35" s="152"/>
      <c r="Q35" s="140">
        <f t="shared" si="8"/>
        <v>0</v>
      </c>
      <c r="R35" s="140">
        <f t="shared" si="8"/>
        <v>3048650</v>
      </c>
      <c r="S35" s="580"/>
      <c r="T35" s="152"/>
    </row>
    <row r="36" spans="1:21" s="81" customFormat="1" ht="75">
      <c r="B36" s="57" t="s">
        <v>58</v>
      </c>
      <c r="C36" s="69" t="s">
        <v>59</v>
      </c>
      <c r="D36" s="13">
        <v>40899</v>
      </c>
      <c r="E36" s="58" t="s">
        <v>5002</v>
      </c>
      <c r="F36" s="161" t="s">
        <v>122</v>
      </c>
      <c r="G36" s="18"/>
      <c r="H36" s="67"/>
      <c r="I36" s="130"/>
      <c r="J36" s="141"/>
      <c r="K36" s="141"/>
      <c r="L36" s="141">
        <v>3796351</v>
      </c>
      <c r="M36" s="141">
        <f>SUM(J36:L36)</f>
        <v>3796351</v>
      </c>
      <c r="N36" s="62"/>
      <c r="O36" s="163" t="s">
        <v>110</v>
      </c>
      <c r="P36" s="62" t="s">
        <v>103</v>
      </c>
      <c r="Q36" s="1054"/>
      <c r="R36" s="1054">
        <f>2625050+423600</f>
        <v>3048650</v>
      </c>
      <c r="S36" s="1104" t="s">
        <v>6233</v>
      </c>
      <c r="T36" s="62" t="s">
        <v>15</v>
      </c>
      <c r="U36" s="15" t="s">
        <v>61</v>
      </c>
    </row>
    <row r="37" spans="1:21" s="81" customFormat="1">
      <c r="B37" s="57" t="s">
        <v>6557</v>
      </c>
      <c r="C37" s="69"/>
      <c r="D37" s="13"/>
      <c r="E37" s="58"/>
      <c r="F37" s="161"/>
      <c r="G37" s="18"/>
      <c r="H37" s="67"/>
      <c r="I37" s="130"/>
      <c r="J37" s="67"/>
      <c r="K37" s="67"/>
      <c r="L37" s="67"/>
      <c r="M37" s="67"/>
      <c r="N37" s="62"/>
      <c r="O37" s="163"/>
      <c r="P37" s="62"/>
      <c r="Q37" s="1054"/>
      <c r="R37" s="1054"/>
      <c r="S37" s="1104"/>
      <c r="T37" s="62"/>
      <c r="U37" s="15"/>
    </row>
    <row r="38" spans="1:21" s="81" customFormat="1" ht="405">
      <c r="B38" s="57" t="s">
        <v>6558</v>
      </c>
      <c r="C38" s="69"/>
      <c r="D38" s="13"/>
      <c r="E38" s="58"/>
      <c r="F38" s="161"/>
      <c r="G38" s="18"/>
      <c r="H38" s="67"/>
      <c r="I38" s="130"/>
      <c r="J38" s="67"/>
      <c r="K38" s="67"/>
      <c r="L38" s="67"/>
      <c r="M38" s="67">
        <v>154403</v>
      </c>
      <c r="N38" s="62"/>
      <c r="O38" s="163"/>
      <c r="P38" s="62"/>
      <c r="Q38" s="1054">
        <v>106803</v>
      </c>
      <c r="R38" s="1054">
        <v>106803</v>
      </c>
      <c r="S38" s="1098" t="s">
        <v>6559</v>
      </c>
      <c r="T38" s="62"/>
      <c r="U38" s="15"/>
    </row>
    <row r="39" spans="1:21" s="81" customFormat="1">
      <c r="B39" s="89"/>
      <c r="C39" s="62"/>
      <c r="D39" s="84"/>
      <c r="E39" s="163"/>
      <c r="F39" s="170"/>
      <c r="G39" s="67"/>
      <c r="H39" s="67"/>
      <c r="I39" s="131"/>
      <c r="J39" s="84"/>
      <c r="K39" s="84"/>
      <c r="L39" s="67"/>
      <c r="M39" s="74"/>
      <c r="N39" s="15"/>
      <c r="O39" s="62"/>
      <c r="P39" s="62"/>
      <c r="Q39" s="591"/>
      <c r="R39" s="591"/>
      <c r="S39" s="580"/>
      <c r="T39" s="62"/>
      <c r="U39" s="15"/>
    </row>
    <row r="40" spans="1:21" s="16" customFormat="1">
      <c r="B40" s="53" t="s">
        <v>27</v>
      </c>
      <c r="C40" s="1137"/>
      <c r="D40" s="5"/>
      <c r="E40" s="949"/>
      <c r="F40" s="1134"/>
      <c r="G40" s="14"/>
      <c r="H40" s="6"/>
      <c r="I40" s="124"/>
      <c r="J40" s="7">
        <f t="shared" ref="J40" si="9">SUM(J41)</f>
        <v>0</v>
      </c>
      <c r="K40" s="7">
        <f>SUM(K41)</f>
        <v>7190</v>
      </c>
      <c r="L40" s="7">
        <f>SUM(L41)</f>
        <v>10750</v>
      </c>
      <c r="M40" s="7">
        <f>SUM(M41)</f>
        <v>17940</v>
      </c>
      <c r="N40" s="6"/>
      <c r="O40" s="117"/>
      <c r="P40" s="1137"/>
      <c r="Q40" s="7">
        <f t="shared" ref="Q40:R40" si="10">SUM(Q41)</f>
        <v>0</v>
      </c>
      <c r="R40" s="7">
        <f t="shared" si="10"/>
        <v>0</v>
      </c>
      <c r="S40" s="339"/>
      <c r="T40" s="1137"/>
      <c r="U40" s="14"/>
    </row>
    <row r="41" spans="1:21" s="16" customFormat="1" ht="90">
      <c r="B41" s="66" t="s">
        <v>111</v>
      </c>
      <c r="C41" s="55" t="s">
        <v>26</v>
      </c>
      <c r="D41" s="56">
        <v>40899</v>
      </c>
      <c r="E41" s="56" t="s">
        <v>4965</v>
      </c>
      <c r="F41" s="60" t="s">
        <v>6561</v>
      </c>
      <c r="G41" s="28"/>
      <c r="H41" s="14">
        <v>1314031</v>
      </c>
      <c r="I41" s="124"/>
      <c r="J41" s="14"/>
      <c r="K41" s="22">
        <v>7190</v>
      </c>
      <c r="L41" s="22">
        <v>10750</v>
      </c>
      <c r="M41" s="22">
        <f>SUM(K41:L41)</f>
        <v>17940</v>
      </c>
      <c r="N41" s="21">
        <f>M41+H41</f>
        <v>1331971</v>
      </c>
      <c r="O41" s="163" t="s">
        <v>110</v>
      </c>
      <c r="P41" s="1137" t="s">
        <v>103</v>
      </c>
      <c r="Q41" s="1054"/>
      <c r="R41" s="1054"/>
      <c r="S41" s="1104"/>
      <c r="T41" s="1137" t="s">
        <v>15</v>
      </c>
      <c r="U41" s="14" t="s">
        <v>18</v>
      </c>
    </row>
    <row r="42" spans="1:21" s="16" customFormat="1">
      <c r="B42" s="28"/>
      <c r="C42" s="55"/>
      <c r="D42" s="56"/>
      <c r="E42" s="19"/>
      <c r="F42" s="60"/>
      <c r="G42" s="28"/>
      <c r="H42" s="14"/>
      <c r="I42" s="124"/>
      <c r="J42" s="14"/>
      <c r="K42" s="22"/>
      <c r="L42" s="22"/>
      <c r="M42" s="22"/>
      <c r="N42" s="21"/>
      <c r="O42" s="58"/>
      <c r="P42" s="1137"/>
      <c r="Q42" s="37"/>
      <c r="R42" s="37"/>
      <c r="S42" s="1119"/>
      <c r="T42" s="1137"/>
      <c r="U42" s="14"/>
    </row>
    <row r="43" spans="1:21" s="16" customFormat="1">
      <c r="A43" s="756" t="s">
        <v>4835</v>
      </c>
      <c r="B43" s="53" t="s">
        <v>4834</v>
      </c>
      <c r="C43" s="55"/>
      <c r="D43" s="56"/>
      <c r="E43" s="949"/>
      <c r="F43" s="60"/>
      <c r="G43" s="28"/>
      <c r="H43" s="14"/>
      <c r="I43" s="124"/>
      <c r="J43" s="14"/>
      <c r="K43" s="22"/>
      <c r="L43" s="22"/>
      <c r="M43" s="22"/>
      <c r="N43" s="21"/>
      <c r="O43" s="58"/>
      <c r="P43" s="1137"/>
      <c r="Q43" s="37"/>
      <c r="R43" s="37"/>
      <c r="S43" s="1119"/>
      <c r="T43" s="1137"/>
      <c r="U43" s="14"/>
    </row>
    <row r="44" spans="1:21" s="24" customFormat="1">
      <c r="B44" s="53" t="s">
        <v>38</v>
      </c>
      <c r="C44" s="55"/>
      <c r="D44" s="56"/>
      <c r="E44" s="949"/>
      <c r="F44" s="172"/>
      <c r="H44" s="65"/>
      <c r="I44" s="138">
        <v>43323</v>
      </c>
      <c r="J44" s="120">
        <f>J45</f>
        <v>0</v>
      </c>
      <c r="K44" s="120">
        <f>K45</f>
        <v>43323</v>
      </c>
      <c r="L44" s="120">
        <f>L45</f>
        <v>0</v>
      </c>
      <c r="M44" s="120">
        <f>M45</f>
        <v>43323</v>
      </c>
      <c r="N44" s="14"/>
      <c r="O44" s="1137"/>
      <c r="P44" s="1137"/>
      <c r="Q44" s="120">
        <f>Q45</f>
        <v>43323</v>
      </c>
      <c r="R44" s="120">
        <f>R45</f>
        <v>20755</v>
      </c>
      <c r="S44" s="4"/>
      <c r="T44" s="23"/>
      <c r="U44" s="14"/>
    </row>
    <row r="45" spans="1:21" s="24" customFormat="1">
      <c r="B45" s="341" t="s">
        <v>11</v>
      </c>
      <c r="C45" s="55"/>
      <c r="D45" s="56"/>
      <c r="E45" s="1137"/>
      <c r="F45" s="172"/>
      <c r="H45" s="65"/>
      <c r="I45" s="127"/>
      <c r="J45" s="59"/>
      <c r="K45" s="59">
        <f>SUM(K46)</f>
        <v>43323</v>
      </c>
      <c r="L45" s="59">
        <f t="shared" ref="L45:M45" si="11">SUM(L46)</f>
        <v>0</v>
      </c>
      <c r="M45" s="59">
        <f t="shared" si="11"/>
        <v>43323</v>
      </c>
      <c r="N45" s="14"/>
      <c r="O45" s="1137"/>
      <c r="P45" s="1137"/>
      <c r="Q45" s="120">
        <f t="shared" ref="Q45:R45" si="12">SUM(Q46)</f>
        <v>43323</v>
      </c>
      <c r="R45" s="120">
        <f t="shared" si="12"/>
        <v>20755</v>
      </c>
      <c r="S45" s="4"/>
      <c r="T45" s="23"/>
      <c r="U45" s="14"/>
    </row>
    <row r="46" spans="1:21" s="24" customFormat="1" ht="38.25" customHeight="1">
      <c r="B46" s="66" t="s">
        <v>106</v>
      </c>
      <c r="C46" s="55" t="s">
        <v>36</v>
      </c>
      <c r="D46" s="56">
        <v>40899</v>
      </c>
      <c r="E46" s="19" t="s">
        <v>622</v>
      </c>
      <c r="F46" s="60" t="s">
        <v>5715</v>
      </c>
      <c r="G46" s="28"/>
      <c r="H46" s="67">
        <v>246988</v>
      </c>
      <c r="I46" s="127"/>
      <c r="J46" s="22"/>
      <c r="K46" s="22">
        <v>43323</v>
      </c>
      <c r="L46" s="22"/>
      <c r="M46" s="68">
        <f>SUM(K46:L46)</f>
        <v>43323</v>
      </c>
      <c r="N46" s="22">
        <f>M46+H46</f>
        <v>290311</v>
      </c>
      <c r="O46" s="163" t="s">
        <v>110</v>
      </c>
      <c r="P46" s="62" t="s">
        <v>102</v>
      </c>
      <c r="Q46" s="1054">
        <v>43323</v>
      </c>
      <c r="R46" s="1054">
        <v>20755</v>
      </c>
      <c r="S46" s="1104" t="s">
        <v>4810</v>
      </c>
      <c r="T46" s="23" t="s">
        <v>15</v>
      </c>
      <c r="U46" s="15" t="s">
        <v>37</v>
      </c>
    </row>
    <row r="47" spans="1:21" s="16" customFormat="1">
      <c r="B47" s="28"/>
      <c r="C47" s="55"/>
      <c r="D47" s="56"/>
      <c r="E47" s="19"/>
      <c r="F47" s="60"/>
      <c r="G47" s="28"/>
      <c r="H47" s="14"/>
      <c r="I47" s="124"/>
      <c r="J47" s="14"/>
      <c r="K47" s="22"/>
      <c r="L47" s="22"/>
      <c r="M47" s="22"/>
      <c r="N47" s="21"/>
      <c r="O47" s="58"/>
      <c r="P47" s="1137"/>
      <c r="Q47" s="37"/>
      <c r="R47" s="37"/>
      <c r="S47" s="1119"/>
      <c r="T47" s="1137"/>
      <c r="U47" s="14"/>
    </row>
    <row r="48" spans="1:21" s="16" customFormat="1">
      <c r="A48" s="756" t="s">
        <v>4836</v>
      </c>
      <c r="B48" s="53" t="s">
        <v>4837</v>
      </c>
      <c r="C48" s="55"/>
      <c r="D48" s="56"/>
      <c r="E48" s="949"/>
      <c r="F48" s="60"/>
      <c r="G48" s="28"/>
      <c r="H48" s="14"/>
      <c r="I48" s="135">
        <v>1880000</v>
      </c>
      <c r="J48" s="120"/>
      <c r="K48" s="120">
        <f>K49+K53</f>
        <v>880000</v>
      </c>
      <c r="L48" s="120">
        <f t="shared" ref="L48:M48" si="13">L49+L53</f>
        <v>1000000</v>
      </c>
      <c r="M48" s="120">
        <f t="shared" si="13"/>
        <v>1880000</v>
      </c>
      <c r="N48" s="21"/>
      <c r="O48" s="58"/>
      <c r="P48" s="1137"/>
      <c r="Q48" s="120">
        <f t="shared" ref="Q48:R48" si="14">Q49+Q53</f>
        <v>1880000</v>
      </c>
      <c r="R48" s="120">
        <f t="shared" si="14"/>
        <v>2206608</v>
      </c>
      <c r="S48" s="1119"/>
      <c r="T48" s="1137"/>
      <c r="U48" s="14"/>
    </row>
    <row r="49" spans="1:21" s="16" customFormat="1">
      <c r="B49" s="53" t="s">
        <v>31</v>
      </c>
      <c r="C49" s="55"/>
      <c r="D49" s="56"/>
      <c r="E49" s="949"/>
      <c r="F49" s="60"/>
      <c r="G49" s="28"/>
      <c r="H49" s="14"/>
      <c r="I49" s="124"/>
      <c r="J49" s="120"/>
      <c r="K49" s="120">
        <f>SUM(K50)</f>
        <v>0</v>
      </c>
      <c r="L49" s="120">
        <f t="shared" ref="L49:M50" si="15">SUM(L50)</f>
        <v>1000000</v>
      </c>
      <c r="M49" s="120">
        <f t="shared" si="15"/>
        <v>1000000</v>
      </c>
      <c r="N49" s="21"/>
      <c r="O49" s="58"/>
      <c r="P49" s="1137"/>
      <c r="Q49" s="120">
        <f t="shared" ref="Q49:R50" si="16">SUM(Q50)</f>
        <v>1000000</v>
      </c>
      <c r="R49" s="120">
        <f t="shared" si="16"/>
        <v>1672180</v>
      </c>
      <c r="S49" s="1119"/>
      <c r="T49" s="1137"/>
      <c r="U49" s="14"/>
    </row>
    <row r="50" spans="1:21" s="16" customFormat="1">
      <c r="B50" s="341" t="s">
        <v>11</v>
      </c>
      <c r="C50" s="55"/>
      <c r="D50" s="56"/>
      <c r="E50" s="1137"/>
      <c r="F50" s="60"/>
      <c r="G50" s="28"/>
      <c r="H50" s="14"/>
      <c r="I50" s="124"/>
      <c r="J50" s="59"/>
      <c r="K50" s="59">
        <f>SUM(K51)</f>
        <v>0</v>
      </c>
      <c r="L50" s="59">
        <f t="shared" si="15"/>
        <v>1000000</v>
      </c>
      <c r="M50" s="59">
        <f t="shared" si="15"/>
        <v>1000000</v>
      </c>
      <c r="N50" s="21"/>
      <c r="O50" s="58"/>
      <c r="P50" s="1137"/>
      <c r="Q50" s="120">
        <f t="shared" si="16"/>
        <v>1000000</v>
      </c>
      <c r="R50" s="120">
        <f t="shared" si="16"/>
        <v>1672180</v>
      </c>
      <c r="S50" s="1119"/>
      <c r="T50" s="1137"/>
      <c r="U50" s="14"/>
    </row>
    <row r="51" spans="1:21" s="64" customFormat="1" ht="139.5" customHeight="1">
      <c r="B51" s="158" t="s">
        <v>107</v>
      </c>
      <c r="C51" s="19" t="s">
        <v>29</v>
      </c>
      <c r="D51" s="56">
        <v>40899</v>
      </c>
      <c r="E51" s="781" t="s">
        <v>4980</v>
      </c>
      <c r="F51" s="60" t="s">
        <v>5716</v>
      </c>
      <c r="G51" s="61"/>
      <c r="H51" s="21"/>
      <c r="I51" s="126"/>
      <c r="J51" s="21"/>
      <c r="K51" s="21"/>
      <c r="L51" s="21">
        <v>1000000</v>
      </c>
      <c r="M51" s="22">
        <f>SUM(J51:L51)</f>
        <v>1000000</v>
      </c>
      <c r="N51" s="21"/>
      <c r="O51" s="163" t="s">
        <v>110</v>
      </c>
      <c r="P51" s="62" t="s">
        <v>102</v>
      </c>
      <c r="Q51" s="1054">
        <v>1000000</v>
      </c>
      <c r="R51" s="1054">
        <v>1672180</v>
      </c>
      <c r="S51" s="1063" t="s">
        <v>6154</v>
      </c>
      <c r="T51" s="62" t="s">
        <v>15</v>
      </c>
      <c r="U51" s="63" t="s">
        <v>30</v>
      </c>
    </row>
    <row r="52" spans="1:21" s="64" customFormat="1">
      <c r="B52" s="60"/>
      <c r="C52" s="19"/>
      <c r="D52" s="56"/>
      <c r="E52" s="781"/>
      <c r="F52" s="60"/>
      <c r="G52" s="61"/>
      <c r="H52" s="21"/>
      <c r="I52" s="126"/>
      <c r="J52" s="21"/>
      <c r="K52" s="21"/>
      <c r="L52" s="21"/>
      <c r="M52" s="22"/>
      <c r="N52" s="21"/>
      <c r="O52" s="58"/>
      <c r="P52" s="153"/>
      <c r="Q52" s="37"/>
      <c r="R52" s="37"/>
      <c r="S52" s="1119"/>
      <c r="T52" s="62"/>
      <c r="U52" s="63"/>
    </row>
    <row r="53" spans="1:21" s="64" customFormat="1">
      <c r="B53" s="53" t="s">
        <v>71</v>
      </c>
      <c r="C53" s="19"/>
      <c r="D53" s="56"/>
      <c r="E53" s="949"/>
      <c r="F53" s="60"/>
      <c r="G53" s="61"/>
      <c r="H53" s="21"/>
      <c r="I53" s="126"/>
      <c r="J53" s="120"/>
      <c r="K53" s="120">
        <f>SUM(K54:K57)</f>
        <v>880000</v>
      </c>
      <c r="L53" s="120">
        <f t="shared" ref="L53:M53" si="17">SUM(L54:L57)</f>
        <v>0</v>
      </c>
      <c r="M53" s="120">
        <f t="shared" si="17"/>
        <v>880000</v>
      </c>
      <c r="N53" s="21"/>
      <c r="O53" s="58"/>
      <c r="P53" s="153"/>
      <c r="Q53" s="120">
        <f t="shared" ref="Q53:R53" si="18">SUM(Q54:Q57)</f>
        <v>880000</v>
      </c>
      <c r="R53" s="120">
        <f t="shared" si="18"/>
        <v>534428</v>
      </c>
      <c r="S53" s="1119"/>
      <c r="T53" s="62"/>
      <c r="U53" s="63"/>
    </row>
    <row r="54" spans="1:21" s="30" customFormat="1" ht="30">
      <c r="B54" s="157" t="s">
        <v>93</v>
      </c>
      <c r="C54" s="23" t="s">
        <v>72</v>
      </c>
      <c r="D54" s="527">
        <v>40899</v>
      </c>
      <c r="E54" s="647" t="s">
        <v>4996</v>
      </c>
      <c r="F54" s="101" t="s">
        <v>5822</v>
      </c>
      <c r="G54" s="101"/>
      <c r="H54" s="93">
        <v>37429</v>
      </c>
      <c r="I54" s="128"/>
      <c r="J54" s="35"/>
      <c r="K54" s="21">
        <v>230000</v>
      </c>
      <c r="L54" s="35"/>
      <c r="M54" s="22">
        <f>SUM(J54:L54)</f>
        <v>230000</v>
      </c>
      <c r="N54" s="99">
        <f>M54+H54</f>
        <v>267429</v>
      </c>
      <c r="O54" s="163" t="s">
        <v>110</v>
      </c>
      <c r="P54" s="32" t="s">
        <v>102</v>
      </c>
      <c r="Q54" s="1054">
        <v>230000</v>
      </c>
      <c r="R54" s="1054">
        <v>213116</v>
      </c>
      <c r="S54" s="1104" t="s">
        <v>6089</v>
      </c>
      <c r="T54" s="69" t="s">
        <v>15</v>
      </c>
      <c r="U54" s="31" t="s">
        <v>146</v>
      </c>
    </row>
    <row r="55" spans="1:21" ht="90">
      <c r="B55" s="157" t="s">
        <v>94</v>
      </c>
      <c r="C55" s="108" t="s">
        <v>81</v>
      </c>
      <c r="D55" s="527">
        <v>40899</v>
      </c>
      <c r="E55" s="647" t="s">
        <v>4618</v>
      </c>
      <c r="F55" s="1134" t="s">
        <v>4617</v>
      </c>
      <c r="G55" s="101"/>
      <c r="H55" s="93"/>
      <c r="I55" s="128"/>
      <c r="J55" s="35"/>
      <c r="K55" s="21">
        <v>300000</v>
      </c>
      <c r="L55" s="35"/>
      <c r="M55" s="22">
        <f>SUM(J55:L55)</f>
        <v>300000</v>
      </c>
      <c r="N55" s="35"/>
      <c r="O55" s="163" t="s">
        <v>110</v>
      </c>
      <c r="P55" s="62" t="s">
        <v>102</v>
      </c>
      <c r="Q55" s="1054">
        <v>300000</v>
      </c>
      <c r="R55" s="1054">
        <v>99312</v>
      </c>
      <c r="S55" s="1104" t="s">
        <v>6090</v>
      </c>
      <c r="T55" s="69" t="s">
        <v>15</v>
      </c>
      <c r="U55" s="12" t="s">
        <v>76</v>
      </c>
    </row>
    <row r="56" spans="1:21" ht="45">
      <c r="B56" s="157" t="s">
        <v>108</v>
      </c>
      <c r="C56" s="108" t="s">
        <v>83</v>
      </c>
      <c r="D56" s="527">
        <v>40899</v>
      </c>
      <c r="E56" s="647" t="s">
        <v>4618</v>
      </c>
      <c r="F56" s="1134" t="s">
        <v>4617</v>
      </c>
      <c r="G56" s="101"/>
      <c r="H56" s="67"/>
      <c r="I56" s="128"/>
      <c r="J56" s="35"/>
      <c r="K56" s="21">
        <v>250000</v>
      </c>
      <c r="L56" s="21"/>
      <c r="M56" s="22">
        <f>SUM(J56:L56)</f>
        <v>250000</v>
      </c>
      <c r="N56" s="21"/>
      <c r="O56" s="163" t="s">
        <v>110</v>
      </c>
      <c r="P56" s="62" t="s">
        <v>102</v>
      </c>
      <c r="Q56" s="1054">
        <v>250000</v>
      </c>
      <c r="R56" s="1054">
        <v>132000</v>
      </c>
      <c r="S56" s="1104" t="s">
        <v>6091</v>
      </c>
      <c r="T56" s="69" t="s">
        <v>15</v>
      </c>
      <c r="U56" s="31" t="s">
        <v>84</v>
      </c>
    </row>
    <row r="57" spans="1:21" ht="30">
      <c r="B57" s="157" t="s">
        <v>95</v>
      </c>
      <c r="C57" s="108" t="s">
        <v>85</v>
      </c>
      <c r="D57" s="527">
        <v>40899</v>
      </c>
      <c r="E57" s="647" t="s">
        <v>4618</v>
      </c>
      <c r="F57" s="1134" t="s">
        <v>4617</v>
      </c>
      <c r="G57" s="101"/>
      <c r="H57" s="67"/>
      <c r="I57" s="128"/>
      <c r="J57" s="21"/>
      <c r="K57" s="22">
        <v>100000</v>
      </c>
      <c r="L57" s="21"/>
      <c r="M57" s="22">
        <f>SUM(J57:L57)</f>
        <v>100000</v>
      </c>
      <c r="N57" s="21"/>
      <c r="O57" s="163" t="s">
        <v>110</v>
      </c>
      <c r="P57" s="62" t="s">
        <v>102</v>
      </c>
      <c r="Q57" s="1054">
        <v>100000</v>
      </c>
      <c r="R57" s="1054">
        <v>90000</v>
      </c>
      <c r="S57" s="1104" t="s">
        <v>6088</v>
      </c>
      <c r="T57" s="69" t="s">
        <v>15</v>
      </c>
      <c r="U57" s="31" t="s">
        <v>84</v>
      </c>
    </row>
    <row r="58" spans="1:21" s="64" customFormat="1" ht="30">
      <c r="B58" s="60"/>
      <c r="C58" s="19"/>
      <c r="D58" s="56"/>
      <c r="E58" s="781"/>
      <c r="F58" s="60"/>
      <c r="G58" s="61"/>
      <c r="H58" s="21"/>
      <c r="I58" s="126"/>
      <c r="J58" s="21"/>
      <c r="K58" s="21"/>
      <c r="L58" s="21"/>
      <c r="M58" s="22"/>
      <c r="N58" s="21"/>
      <c r="O58" s="163" t="s">
        <v>110</v>
      </c>
      <c r="P58" s="153"/>
      <c r="Q58" s="1054"/>
      <c r="R58" s="1054"/>
      <c r="S58" s="1104"/>
      <c r="T58" s="62"/>
      <c r="U58" s="63"/>
    </row>
    <row r="59" spans="1:21" s="64" customFormat="1">
      <c r="A59" s="757" t="s">
        <v>4838</v>
      </c>
      <c r="B59" s="53" t="s">
        <v>109</v>
      </c>
      <c r="C59" s="19"/>
      <c r="D59" s="56"/>
      <c r="E59" s="949"/>
      <c r="F59" s="60"/>
      <c r="G59" s="61"/>
      <c r="H59" s="21"/>
      <c r="I59" s="126"/>
      <c r="J59" s="21"/>
      <c r="K59" s="21"/>
      <c r="L59" s="21"/>
      <c r="M59" s="22"/>
      <c r="N59" s="21"/>
      <c r="O59" s="58"/>
      <c r="P59" s="153"/>
      <c r="Q59" s="37"/>
      <c r="R59" s="37"/>
      <c r="S59" s="1119"/>
      <c r="T59" s="62"/>
      <c r="U59" s="63"/>
    </row>
    <row r="60" spans="1:21" s="64" customFormat="1">
      <c r="B60" s="53" t="s">
        <v>34</v>
      </c>
      <c r="C60" s="19"/>
      <c r="D60" s="56"/>
      <c r="E60" s="949"/>
      <c r="F60" s="60"/>
      <c r="G60" s="61"/>
      <c r="H60" s="21"/>
      <c r="I60" s="138">
        <v>192640</v>
      </c>
      <c r="J60" s="120"/>
      <c r="K60" s="120">
        <f>SUM(K61)</f>
        <v>0</v>
      </c>
      <c r="L60" s="120">
        <f t="shared" ref="L60:M61" si="19">SUM(L61)</f>
        <v>192640</v>
      </c>
      <c r="M60" s="120">
        <f t="shared" si="19"/>
        <v>192640</v>
      </c>
      <c r="N60" s="21"/>
      <c r="O60" s="58"/>
      <c r="P60" s="153"/>
      <c r="Q60" s="120">
        <f t="shared" ref="Q60:R61" si="20">SUM(Q61)</f>
        <v>192640</v>
      </c>
      <c r="R60" s="120">
        <f t="shared" si="20"/>
        <v>0</v>
      </c>
      <c r="S60" s="1119"/>
      <c r="T60" s="62"/>
      <c r="U60" s="63"/>
    </row>
    <row r="61" spans="1:21" s="64" customFormat="1">
      <c r="B61" s="341" t="s">
        <v>35</v>
      </c>
      <c r="C61" s="19"/>
      <c r="D61" s="56"/>
      <c r="E61" s="1137"/>
      <c r="F61" s="60"/>
      <c r="G61" s="61"/>
      <c r="H61" s="21"/>
      <c r="I61" s="126"/>
      <c r="J61" s="59"/>
      <c r="K61" s="59">
        <f>SUM(K62)</f>
        <v>0</v>
      </c>
      <c r="L61" s="59">
        <f t="shared" si="19"/>
        <v>192640</v>
      </c>
      <c r="M61" s="59">
        <f t="shared" si="19"/>
        <v>192640</v>
      </c>
      <c r="N61" s="21"/>
      <c r="O61" s="58"/>
      <c r="P61" s="153"/>
      <c r="Q61" s="120">
        <f t="shared" si="20"/>
        <v>192640</v>
      </c>
      <c r="R61" s="120">
        <f t="shared" si="20"/>
        <v>0</v>
      </c>
      <c r="S61" s="1119"/>
      <c r="T61" s="62"/>
      <c r="U61" s="63"/>
    </row>
    <row r="62" spans="1:21" s="24" customFormat="1" ht="30">
      <c r="B62" s="66" t="s">
        <v>109</v>
      </c>
      <c r="C62" s="55" t="s">
        <v>32</v>
      </c>
      <c r="D62" s="56">
        <v>40892</v>
      </c>
      <c r="E62" s="19" t="s">
        <v>5824</v>
      </c>
      <c r="F62" s="172" t="s">
        <v>5823</v>
      </c>
      <c r="H62" s="65">
        <v>139957</v>
      </c>
      <c r="I62" s="127"/>
      <c r="J62" s="22"/>
      <c r="K62" s="22"/>
      <c r="L62" s="22">
        <v>192640</v>
      </c>
      <c r="M62" s="22">
        <f>SUM(K62:L62)</f>
        <v>192640</v>
      </c>
      <c r="N62" s="14">
        <f>M62+H62</f>
        <v>332597</v>
      </c>
      <c r="O62" s="163" t="s">
        <v>110</v>
      </c>
      <c r="P62" s="62" t="s">
        <v>102</v>
      </c>
      <c r="Q62" s="1054">
        <v>192640</v>
      </c>
      <c r="R62" s="1054"/>
      <c r="S62" s="1104"/>
      <c r="T62" s="23" t="s">
        <v>15</v>
      </c>
      <c r="U62" s="14" t="s">
        <v>33</v>
      </c>
    </row>
    <row r="63" spans="1:21" s="24" customFormat="1">
      <c r="B63" s="28"/>
      <c r="C63" s="55"/>
      <c r="D63" s="56"/>
      <c r="E63" s="19"/>
      <c r="F63" s="172"/>
      <c r="H63" s="65"/>
      <c r="I63" s="127"/>
      <c r="J63" s="22"/>
      <c r="K63" s="22"/>
      <c r="L63" s="22"/>
      <c r="M63" s="22"/>
      <c r="N63" s="14"/>
      <c r="O63" s="1137"/>
      <c r="P63" s="1137"/>
      <c r="Q63" s="1140"/>
      <c r="R63" s="1140"/>
      <c r="S63" s="4"/>
      <c r="T63" s="23"/>
      <c r="U63" s="14"/>
    </row>
    <row r="64" spans="1:21" s="81" customFormat="1">
      <c r="A64" s="757" t="s">
        <v>4840</v>
      </c>
      <c r="B64" s="53" t="s">
        <v>4839</v>
      </c>
      <c r="D64" s="681"/>
      <c r="E64" s="949"/>
      <c r="F64" s="171"/>
      <c r="H64" s="82"/>
      <c r="I64" s="133">
        <v>719020</v>
      </c>
      <c r="J64" s="92">
        <f t="shared" ref="J64:K64" si="21">SUM(J65)</f>
        <v>0</v>
      </c>
      <c r="K64" s="92">
        <f t="shared" si="21"/>
        <v>0</v>
      </c>
      <c r="L64" s="92">
        <f>SUM(L65)</f>
        <v>630020</v>
      </c>
      <c r="M64" s="954">
        <f>SUM(M65)</f>
        <v>630020</v>
      </c>
      <c r="N64" s="15"/>
      <c r="O64" s="62"/>
      <c r="P64" s="152"/>
      <c r="Q64" s="954">
        <f t="shared" ref="Q64:R64" si="22">SUM(Q65)</f>
        <v>0</v>
      </c>
      <c r="R64" s="954">
        <f t="shared" si="22"/>
        <v>0</v>
      </c>
      <c r="S64" s="580"/>
      <c r="T64" s="152"/>
    </row>
    <row r="65" spans="1:21" s="81" customFormat="1">
      <c r="B65" s="53" t="s">
        <v>65</v>
      </c>
      <c r="D65" s="681"/>
      <c r="E65" s="949"/>
      <c r="F65" s="171"/>
      <c r="H65" s="67"/>
      <c r="I65" s="129"/>
      <c r="J65" s="88">
        <f t="shared" ref="J65:K65" si="23">J66</f>
        <v>0</v>
      </c>
      <c r="K65" s="88">
        <f t="shared" si="23"/>
        <v>0</v>
      </c>
      <c r="L65" s="88">
        <f>L66</f>
        <v>630020</v>
      </c>
      <c r="M65" s="955">
        <f>M66</f>
        <v>630020</v>
      </c>
      <c r="N65" s="15"/>
      <c r="O65" s="62"/>
      <c r="P65" s="152"/>
      <c r="Q65" s="955">
        <f t="shared" ref="Q65:R65" si="24">Q66</f>
        <v>0</v>
      </c>
      <c r="R65" s="955">
        <f t="shared" si="24"/>
        <v>0</v>
      </c>
      <c r="S65" s="580"/>
      <c r="T65" s="152"/>
    </row>
    <row r="66" spans="1:21" s="81" customFormat="1" ht="45">
      <c r="B66" s="86"/>
      <c r="C66" s="69" t="s">
        <v>66</v>
      </c>
      <c r="D66" s="13">
        <v>40878</v>
      </c>
      <c r="E66" s="58" t="s">
        <v>4998</v>
      </c>
      <c r="F66" s="161" t="s">
        <v>4997</v>
      </c>
      <c r="G66" s="18"/>
      <c r="H66" s="93">
        <v>4207859</v>
      </c>
      <c r="I66" s="130"/>
      <c r="J66" s="94"/>
      <c r="K66" s="94"/>
      <c r="L66" s="67">
        <v>630020</v>
      </c>
      <c r="M66" s="74">
        <f t="shared" ref="M66" si="25">SUM(K66:L66)</f>
        <v>630020</v>
      </c>
      <c r="N66" s="93">
        <f>H66+M66</f>
        <v>4837879</v>
      </c>
      <c r="O66" s="163" t="s">
        <v>110</v>
      </c>
      <c r="P66" s="62" t="s">
        <v>102</v>
      </c>
      <c r="Q66" s="1054"/>
      <c r="R66" s="1054"/>
      <c r="S66" s="1104"/>
      <c r="T66" s="62" t="s">
        <v>15</v>
      </c>
      <c r="U66" s="15" t="s">
        <v>67</v>
      </c>
    </row>
    <row r="67" spans="1:21" s="81" customFormat="1">
      <c r="B67" s="86"/>
      <c r="C67" s="69"/>
      <c r="D67" s="13"/>
      <c r="E67" s="58"/>
      <c r="F67" s="161"/>
      <c r="G67" s="18"/>
      <c r="H67" s="93"/>
      <c r="I67" s="130"/>
      <c r="J67" s="94"/>
      <c r="K67" s="94"/>
      <c r="L67" s="67"/>
      <c r="M67" s="74"/>
      <c r="N67" s="93"/>
      <c r="O67" s="1127"/>
      <c r="P67" s="62"/>
      <c r="Q67" s="1127"/>
      <c r="R67" s="1127"/>
      <c r="S67" s="342"/>
      <c r="T67" s="62"/>
      <c r="U67" s="15"/>
    </row>
    <row r="68" spans="1:21" s="81" customFormat="1">
      <c r="A68" s="952" t="s">
        <v>4842</v>
      </c>
      <c r="B68" s="953" t="s">
        <v>4841</v>
      </c>
      <c r="C68" s="69"/>
      <c r="D68" s="13"/>
      <c r="E68" s="949"/>
      <c r="F68" s="161"/>
      <c r="G68" s="18"/>
      <c r="H68" s="93"/>
      <c r="I68" s="133">
        <v>2286761</v>
      </c>
      <c r="J68" s="94"/>
      <c r="K68" s="94"/>
      <c r="L68" s="67"/>
      <c r="M68" s="74"/>
      <c r="N68" s="93"/>
      <c r="O68" s="1127"/>
      <c r="P68" s="62"/>
      <c r="Q68" s="1127"/>
      <c r="R68" s="1127"/>
      <c r="S68" s="342"/>
      <c r="T68" s="62"/>
      <c r="U68" s="15"/>
    </row>
    <row r="69" spans="1:21" s="24" customFormat="1">
      <c r="B69" s="66"/>
      <c r="C69" s="55"/>
      <c r="D69" s="56"/>
      <c r="E69" s="19"/>
      <c r="F69" s="60"/>
      <c r="G69" s="28"/>
      <c r="H69" s="67"/>
      <c r="I69" s="124"/>
      <c r="J69" s="22"/>
      <c r="K69" s="22"/>
      <c r="L69" s="22"/>
      <c r="M69" s="68"/>
      <c r="N69" s="22"/>
      <c r="O69" s="23"/>
      <c r="P69" s="62"/>
      <c r="Q69" s="166"/>
      <c r="R69" s="166"/>
      <c r="S69" s="106"/>
      <c r="T69" s="23"/>
      <c r="U69" s="15"/>
    </row>
    <row r="70" spans="1:21" s="71" customFormat="1">
      <c r="A70" s="757" t="s">
        <v>4844</v>
      </c>
      <c r="B70" s="53" t="s">
        <v>4843</v>
      </c>
      <c r="C70" s="69"/>
      <c r="D70" s="679"/>
      <c r="E70" s="949"/>
      <c r="F70" s="1114"/>
      <c r="G70" s="1119"/>
      <c r="H70" s="67"/>
      <c r="I70" s="125">
        <v>115556</v>
      </c>
      <c r="J70" s="145">
        <f>SUM(J71:J73)+SUM(J76:J81)</f>
        <v>0</v>
      </c>
      <c r="K70" s="145">
        <f>SUM(K71:K73)+SUM(K76:K81)</f>
        <v>115556.488</v>
      </c>
      <c r="L70" s="145">
        <f t="shared" ref="L70:M70" si="26">SUM(L71:L73)+SUM(L76:L81)</f>
        <v>0</v>
      </c>
      <c r="M70" s="145">
        <f t="shared" si="26"/>
        <v>115556.488</v>
      </c>
      <c r="N70" s="70"/>
      <c r="O70" s="1107"/>
      <c r="P70" s="23"/>
      <c r="Q70" s="145">
        <f t="shared" ref="Q70:R70" si="27">SUM(Q71:Q73)+SUM(Q76:Q81)</f>
        <v>115556.488</v>
      </c>
      <c r="R70" s="145">
        <f t="shared" si="27"/>
        <v>115556.488</v>
      </c>
      <c r="S70" s="343"/>
      <c r="T70" s="166"/>
      <c r="U70" s="22"/>
    </row>
    <row r="71" spans="1:21" s="71" customFormat="1" ht="171.75" customHeight="1">
      <c r="B71" s="1119"/>
      <c r="C71" s="69" t="s">
        <v>39</v>
      </c>
      <c r="D71" s="679">
        <v>40899</v>
      </c>
      <c r="E71" s="58" t="s">
        <v>5261</v>
      </c>
      <c r="F71" s="1103" t="s">
        <v>5260</v>
      </c>
      <c r="G71" s="1119"/>
      <c r="H71" s="67">
        <v>43295</v>
      </c>
      <c r="I71" s="125"/>
      <c r="J71" s="68"/>
      <c r="K71" s="73">
        <v>26343.996999999999</v>
      </c>
      <c r="L71" s="68"/>
      <c r="M71" s="68">
        <f>SUM(K71:L71)</f>
        <v>26343.996999999999</v>
      </c>
      <c r="N71" s="74">
        <f>M71+H71</f>
        <v>69638.997000000003</v>
      </c>
      <c r="O71" s="163" t="s">
        <v>110</v>
      </c>
      <c r="P71" s="23" t="s">
        <v>104</v>
      </c>
      <c r="Q71" s="1058">
        <v>26343.996999999999</v>
      </c>
      <c r="R71" s="1058">
        <v>26343.996999999999</v>
      </c>
      <c r="S71" s="1104"/>
      <c r="T71" s="58" t="s">
        <v>15</v>
      </c>
      <c r="U71" s="22" t="s">
        <v>40</v>
      </c>
    </row>
    <row r="72" spans="1:21" s="71" customFormat="1" ht="173.25" customHeight="1">
      <c r="B72" s="1119"/>
      <c r="C72" s="69" t="s">
        <v>41</v>
      </c>
      <c r="D72" s="679">
        <v>40899</v>
      </c>
      <c r="E72" s="58" t="s">
        <v>5825</v>
      </c>
      <c r="F72" s="1103" t="s">
        <v>5260</v>
      </c>
      <c r="G72" s="1119"/>
      <c r="H72" s="67">
        <v>38594</v>
      </c>
      <c r="I72" s="125"/>
      <c r="J72" s="68"/>
      <c r="K72" s="73">
        <v>11948.163</v>
      </c>
      <c r="L72" s="68"/>
      <c r="M72" s="68">
        <f t="shared" ref="M72:M81" si="28">SUM(K72:L72)</f>
        <v>11948.163</v>
      </c>
      <c r="N72" s="74">
        <f>M72+H72</f>
        <v>50542.163</v>
      </c>
      <c r="O72" s="163" t="s">
        <v>110</v>
      </c>
      <c r="P72" s="23" t="s">
        <v>104</v>
      </c>
      <c r="Q72" s="1058">
        <v>11948.163</v>
      </c>
      <c r="R72" s="1058">
        <v>11948.163</v>
      </c>
      <c r="S72" s="1104"/>
      <c r="T72" s="58" t="s">
        <v>15</v>
      </c>
      <c r="U72" s="22" t="s">
        <v>42</v>
      </c>
    </row>
    <row r="73" spans="1:21" s="71" customFormat="1" ht="15.75" customHeight="1">
      <c r="B73" s="1119"/>
      <c r="C73" s="69"/>
      <c r="D73" s="679"/>
      <c r="E73" s="58"/>
      <c r="F73" s="1103"/>
      <c r="G73" s="1119"/>
      <c r="H73" s="67">
        <v>28614</v>
      </c>
      <c r="I73" s="125"/>
      <c r="J73" s="68"/>
      <c r="K73" s="75">
        <f>K74+K75</f>
        <v>15608.869999999999</v>
      </c>
      <c r="L73" s="75">
        <f t="shared" ref="L73:M73" si="29">L74+L75</f>
        <v>0</v>
      </c>
      <c r="M73" s="75">
        <f t="shared" si="29"/>
        <v>15608.869999999999</v>
      </c>
      <c r="N73" s="74">
        <f>M73+H73</f>
        <v>44222.869999999995</v>
      </c>
      <c r="O73" s="154"/>
      <c r="P73" s="23"/>
      <c r="Q73" s="1059">
        <f t="shared" ref="Q73:R73" si="30">Q74+Q75</f>
        <v>15608.869999999999</v>
      </c>
      <c r="R73" s="1059">
        <f t="shared" si="30"/>
        <v>15608.869999999999</v>
      </c>
      <c r="S73" s="1060"/>
      <c r="T73" s="58"/>
      <c r="U73" s="22"/>
    </row>
    <row r="74" spans="1:21" s="71" customFormat="1" ht="150">
      <c r="B74" s="1119"/>
      <c r="C74" s="69" t="s">
        <v>44</v>
      </c>
      <c r="D74" s="679">
        <v>40899</v>
      </c>
      <c r="E74" s="58" t="s">
        <v>43</v>
      </c>
      <c r="F74" s="1103" t="s">
        <v>5260</v>
      </c>
      <c r="G74" s="1119"/>
      <c r="H74" s="76"/>
      <c r="I74" s="125"/>
      <c r="J74" s="68"/>
      <c r="K74" s="73">
        <v>11448.313</v>
      </c>
      <c r="L74" s="68"/>
      <c r="M74" s="68">
        <f t="shared" si="28"/>
        <v>11448.313</v>
      </c>
      <c r="N74" s="68"/>
      <c r="O74" s="163" t="s">
        <v>110</v>
      </c>
      <c r="P74" s="23" t="s">
        <v>104</v>
      </c>
      <c r="Q74" s="1058">
        <v>11448.313</v>
      </c>
      <c r="R74" s="1058">
        <v>11448.313</v>
      </c>
      <c r="S74" s="1104"/>
      <c r="T74" s="58" t="s">
        <v>15</v>
      </c>
      <c r="U74" s="22" t="s">
        <v>42</v>
      </c>
    </row>
    <row r="75" spans="1:21" s="71" customFormat="1" ht="158.25" customHeight="1">
      <c r="B75" s="1119"/>
      <c r="C75" s="69" t="s">
        <v>45</v>
      </c>
      <c r="D75" s="679">
        <v>40899</v>
      </c>
      <c r="E75" s="58" t="s">
        <v>43</v>
      </c>
      <c r="F75" s="1103" t="s">
        <v>5260</v>
      </c>
      <c r="G75" s="1119"/>
      <c r="H75" s="76"/>
      <c r="I75" s="125"/>
      <c r="J75" s="68"/>
      <c r="K75" s="73">
        <v>4160.5569999999998</v>
      </c>
      <c r="L75" s="68"/>
      <c r="M75" s="68">
        <f t="shared" si="28"/>
        <v>4160.5569999999998</v>
      </c>
      <c r="N75" s="68"/>
      <c r="O75" s="163" t="s">
        <v>110</v>
      </c>
      <c r="P75" s="23" t="s">
        <v>104</v>
      </c>
      <c r="Q75" s="1058">
        <v>4160.5569999999998</v>
      </c>
      <c r="R75" s="1058">
        <v>4160.5569999999998</v>
      </c>
      <c r="S75" s="1104"/>
      <c r="T75" s="58" t="s">
        <v>15</v>
      </c>
      <c r="U75" s="22" t="s">
        <v>42</v>
      </c>
    </row>
    <row r="76" spans="1:21" s="71" customFormat="1" ht="174.75" customHeight="1">
      <c r="B76" s="1119"/>
      <c r="C76" s="69" t="s">
        <v>46</v>
      </c>
      <c r="D76" s="679">
        <v>40899</v>
      </c>
      <c r="E76" s="58" t="s">
        <v>5826</v>
      </c>
      <c r="F76" s="1103" t="s">
        <v>5260</v>
      </c>
      <c r="G76" s="1119"/>
      <c r="H76" s="67">
        <v>13440</v>
      </c>
      <c r="I76" s="125"/>
      <c r="J76" s="68"/>
      <c r="K76" s="73">
        <v>5765.8950000000004</v>
      </c>
      <c r="L76" s="68"/>
      <c r="M76" s="68">
        <f t="shared" si="28"/>
        <v>5765.8950000000004</v>
      </c>
      <c r="N76" s="10">
        <f t="shared" ref="N76:N81" si="31">M76+H76</f>
        <v>19205.895</v>
      </c>
      <c r="O76" s="163" t="s">
        <v>110</v>
      </c>
      <c r="P76" s="23" t="s">
        <v>104</v>
      </c>
      <c r="Q76" s="1058">
        <v>5765.8950000000004</v>
      </c>
      <c r="R76" s="1058">
        <v>5765.8950000000004</v>
      </c>
      <c r="S76" s="1104"/>
      <c r="T76" s="58" t="s">
        <v>15</v>
      </c>
      <c r="U76" s="22" t="s">
        <v>42</v>
      </c>
    </row>
    <row r="77" spans="1:21" s="71" customFormat="1" ht="174.75" customHeight="1">
      <c r="B77" s="1119"/>
      <c r="C77" s="69" t="s">
        <v>47</v>
      </c>
      <c r="D77" s="679">
        <v>40899</v>
      </c>
      <c r="E77" s="58" t="s">
        <v>5836</v>
      </c>
      <c r="F77" s="1103" t="s">
        <v>5260</v>
      </c>
      <c r="G77" s="1119"/>
      <c r="H77" s="67">
        <v>19445</v>
      </c>
      <c r="I77" s="125"/>
      <c r="J77" s="68"/>
      <c r="K77" s="73">
        <v>353.33199999999999</v>
      </c>
      <c r="L77" s="68"/>
      <c r="M77" s="68">
        <f t="shared" si="28"/>
        <v>353.33199999999999</v>
      </c>
      <c r="N77" s="10">
        <f t="shared" si="31"/>
        <v>19798.331999999999</v>
      </c>
      <c r="O77" s="163" t="s">
        <v>110</v>
      </c>
      <c r="P77" s="23" t="s">
        <v>104</v>
      </c>
      <c r="Q77" s="1058">
        <v>353.33199999999999</v>
      </c>
      <c r="R77" s="1058">
        <v>353.33199999999999</v>
      </c>
      <c r="S77" s="1104"/>
      <c r="T77" s="58" t="s">
        <v>15</v>
      </c>
      <c r="U77" s="22" t="s">
        <v>42</v>
      </c>
    </row>
    <row r="78" spans="1:21" s="71" customFormat="1" ht="174.75" customHeight="1">
      <c r="B78" s="1119"/>
      <c r="C78" s="69" t="s">
        <v>48</v>
      </c>
      <c r="D78" s="679">
        <v>40899</v>
      </c>
      <c r="E78" s="58" t="s">
        <v>5827</v>
      </c>
      <c r="F78" s="1103" t="s">
        <v>5260</v>
      </c>
      <c r="G78" s="1119"/>
      <c r="H78" s="67">
        <v>12944</v>
      </c>
      <c r="I78" s="125"/>
      <c r="J78" s="68"/>
      <c r="K78" s="73">
        <v>10784.539000000001</v>
      </c>
      <c r="L78" s="68"/>
      <c r="M78" s="68">
        <f t="shared" si="28"/>
        <v>10784.539000000001</v>
      </c>
      <c r="N78" s="10">
        <f t="shared" si="31"/>
        <v>23728.539000000001</v>
      </c>
      <c r="O78" s="163" t="s">
        <v>110</v>
      </c>
      <c r="P78" s="23" t="s">
        <v>104</v>
      </c>
      <c r="Q78" s="1058">
        <v>10784.539000000001</v>
      </c>
      <c r="R78" s="1058">
        <v>10784.539000000001</v>
      </c>
      <c r="S78" s="1104"/>
      <c r="T78" s="58" t="s">
        <v>15</v>
      </c>
      <c r="U78" s="22" t="s">
        <v>42</v>
      </c>
    </row>
    <row r="79" spans="1:21" s="71" customFormat="1" ht="174.75" customHeight="1">
      <c r="B79" s="1119"/>
      <c r="C79" s="69" t="s">
        <v>49</v>
      </c>
      <c r="D79" s="679">
        <v>40899</v>
      </c>
      <c r="E79" s="58" t="s">
        <v>5828</v>
      </c>
      <c r="F79" s="1103" t="s">
        <v>5260</v>
      </c>
      <c r="G79" s="1119"/>
      <c r="H79" s="67">
        <v>10529</v>
      </c>
      <c r="I79" s="125"/>
      <c r="J79" s="68"/>
      <c r="K79" s="73">
        <v>380.00099999999998</v>
      </c>
      <c r="L79" s="68"/>
      <c r="M79" s="68">
        <f t="shared" si="28"/>
        <v>380.00099999999998</v>
      </c>
      <c r="N79" s="10">
        <f t="shared" si="31"/>
        <v>10909.001</v>
      </c>
      <c r="O79" s="163" t="s">
        <v>110</v>
      </c>
      <c r="P79" s="23" t="s">
        <v>104</v>
      </c>
      <c r="Q79" s="1058">
        <v>380.00099999999998</v>
      </c>
      <c r="R79" s="1058">
        <v>380.00099999999998</v>
      </c>
      <c r="S79" s="1104"/>
      <c r="T79" s="58" t="s">
        <v>15</v>
      </c>
      <c r="U79" s="22" t="s">
        <v>42</v>
      </c>
    </row>
    <row r="80" spans="1:21" s="71" customFormat="1" ht="174.75" customHeight="1">
      <c r="B80" s="1119"/>
      <c r="C80" s="69" t="s">
        <v>50</v>
      </c>
      <c r="D80" s="679">
        <v>40899</v>
      </c>
      <c r="E80" s="58" t="s">
        <v>5837</v>
      </c>
      <c r="F80" s="1103" t="s">
        <v>5260</v>
      </c>
      <c r="G80" s="1119"/>
      <c r="H80" s="67">
        <v>13966</v>
      </c>
      <c r="I80" s="125"/>
      <c r="J80" s="68"/>
      <c r="K80" s="73">
        <v>19547.152999999998</v>
      </c>
      <c r="L80" s="68"/>
      <c r="M80" s="68">
        <f t="shared" si="28"/>
        <v>19547.152999999998</v>
      </c>
      <c r="N80" s="10">
        <f t="shared" si="31"/>
        <v>33513.152999999998</v>
      </c>
      <c r="O80" s="163" t="s">
        <v>110</v>
      </c>
      <c r="P80" s="23" t="s">
        <v>104</v>
      </c>
      <c r="Q80" s="1058">
        <v>19547.152999999998</v>
      </c>
      <c r="R80" s="1058">
        <v>19547.152999999998</v>
      </c>
      <c r="S80" s="1104"/>
      <c r="T80" s="58" t="s">
        <v>15</v>
      </c>
      <c r="U80" s="22" t="s">
        <v>42</v>
      </c>
    </row>
    <row r="81" spans="1:22" s="71" customFormat="1" ht="174.75" customHeight="1">
      <c r="B81" s="1119"/>
      <c r="C81" s="69" t="s">
        <v>51</v>
      </c>
      <c r="D81" s="679">
        <v>40899</v>
      </c>
      <c r="E81" s="58" t="s">
        <v>5829</v>
      </c>
      <c r="F81" s="1103" t="s">
        <v>5260</v>
      </c>
      <c r="G81" s="1119"/>
      <c r="H81" s="67">
        <v>43295</v>
      </c>
      <c r="I81" s="125"/>
      <c r="J81" s="68"/>
      <c r="K81" s="73">
        <v>24824.538</v>
      </c>
      <c r="L81" s="68"/>
      <c r="M81" s="68">
        <f t="shared" si="28"/>
        <v>24824.538</v>
      </c>
      <c r="N81" s="10">
        <f t="shared" si="31"/>
        <v>68119.538</v>
      </c>
      <c r="O81" s="163" t="s">
        <v>110</v>
      </c>
      <c r="P81" s="23" t="s">
        <v>104</v>
      </c>
      <c r="Q81" s="1058">
        <v>24824.538</v>
      </c>
      <c r="R81" s="1058">
        <v>24824.538</v>
      </c>
      <c r="S81" s="1104"/>
      <c r="T81" s="58" t="s">
        <v>15</v>
      </c>
      <c r="U81" s="22" t="s">
        <v>40</v>
      </c>
    </row>
    <row r="82" spans="1:22" s="71" customFormat="1">
      <c r="B82" s="66"/>
      <c r="C82" s="69"/>
      <c r="D82" s="679"/>
      <c r="E82" s="19"/>
      <c r="F82" s="1103"/>
      <c r="G82" s="1119"/>
      <c r="H82" s="67"/>
      <c r="I82" s="125"/>
      <c r="J82" s="68"/>
      <c r="K82" s="73"/>
      <c r="L82" s="68"/>
      <c r="M82" s="68"/>
      <c r="N82" s="10"/>
      <c r="O82" s="1136"/>
      <c r="P82" s="23"/>
      <c r="Q82" s="117"/>
      <c r="R82" s="117"/>
      <c r="S82" s="339"/>
      <c r="T82" s="58"/>
      <c r="U82" s="22"/>
    </row>
    <row r="83" spans="1:22" s="71" customFormat="1">
      <c r="B83" s="956" t="s">
        <v>5834</v>
      </c>
      <c r="C83" s="69"/>
      <c r="D83" s="679"/>
      <c r="E83" s="950"/>
      <c r="F83" s="1103"/>
      <c r="G83" s="1119"/>
      <c r="H83" s="67"/>
      <c r="I83" s="149">
        <v>1225000</v>
      </c>
      <c r="J83" s="150">
        <f>J84+J90</f>
        <v>0</v>
      </c>
      <c r="K83" s="150">
        <f>K84+K90</f>
        <v>1225000</v>
      </c>
      <c r="L83" s="150">
        <f>L84+L90</f>
        <v>0</v>
      </c>
      <c r="M83" s="150">
        <f>M84+M90</f>
        <v>1225000</v>
      </c>
      <c r="N83" s="10"/>
      <c r="O83" s="1136"/>
      <c r="P83" s="23"/>
      <c r="Q83" s="150">
        <f t="shared" ref="Q83:R83" si="32">Q84+Q90</f>
        <v>725000</v>
      </c>
      <c r="R83" s="150">
        <f t="shared" si="32"/>
        <v>1217290</v>
      </c>
      <c r="S83" s="339"/>
      <c r="T83" s="58"/>
      <c r="U83" s="22"/>
    </row>
    <row r="84" spans="1:22" s="71" customFormat="1">
      <c r="A84" s="758" t="s">
        <v>4846</v>
      </c>
      <c r="B84" s="53" t="s">
        <v>4845</v>
      </c>
      <c r="C84" s="69"/>
      <c r="D84" s="679"/>
      <c r="E84" s="949"/>
      <c r="F84" s="1103"/>
      <c r="G84" s="1119"/>
      <c r="H84" s="67"/>
      <c r="I84" s="125"/>
      <c r="J84" s="145">
        <f>J86+J88</f>
        <v>0</v>
      </c>
      <c r="K84" s="145">
        <f t="shared" ref="K84:M84" si="33">K86+K88</f>
        <v>725000</v>
      </c>
      <c r="L84" s="145">
        <f t="shared" si="33"/>
        <v>0</v>
      </c>
      <c r="M84" s="145">
        <f t="shared" si="33"/>
        <v>725000</v>
      </c>
      <c r="N84" s="10"/>
      <c r="O84" s="1136"/>
      <c r="P84" s="23"/>
      <c r="Q84" s="145">
        <f t="shared" ref="Q84:R84" si="34">Q86+Q88</f>
        <v>725000</v>
      </c>
      <c r="R84" s="145">
        <f t="shared" si="34"/>
        <v>725000</v>
      </c>
      <c r="S84" s="339"/>
      <c r="T84" s="58"/>
      <c r="U84" s="22"/>
    </row>
    <row r="85" spans="1:22" s="71" customFormat="1">
      <c r="B85" s="53" t="s">
        <v>71</v>
      </c>
      <c r="C85" s="69"/>
      <c r="D85" s="679"/>
      <c r="E85" s="949"/>
      <c r="F85" s="1103"/>
      <c r="G85" s="1119"/>
      <c r="H85" s="67"/>
      <c r="I85" s="125"/>
      <c r="J85" s="68"/>
      <c r="K85" s="73"/>
      <c r="L85" s="68"/>
      <c r="M85" s="68"/>
      <c r="N85" s="10"/>
      <c r="O85" s="1136"/>
      <c r="P85" s="23"/>
      <c r="Q85" s="117"/>
      <c r="R85" s="117"/>
      <c r="S85" s="339"/>
      <c r="T85" s="58"/>
      <c r="U85" s="22"/>
    </row>
    <row r="86" spans="1:22" ht="79.5" customHeight="1">
      <c r="B86" s="142" t="s">
        <v>99</v>
      </c>
      <c r="C86" s="108" t="s">
        <v>96</v>
      </c>
      <c r="D86" s="552">
        <v>40899</v>
      </c>
      <c r="E86" s="214" t="s">
        <v>3044</v>
      </c>
      <c r="F86" s="159" t="s">
        <v>5830</v>
      </c>
      <c r="G86" s="146"/>
      <c r="H86" s="93">
        <v>13793</v>
      </c>
      <c r="I86" s="21"/>
      <c r="J86" s="21"/>
      <c r="K86" s="21">
        <v>560000</v>
      </c>
      <c r="L86" s="21"/>
      <c r="M86" s="22">
        <f>SUM(J86:L86)</f>
        <v>560000</v>
      </c>
      <c r="N86" s="35">
        <f>H86+M86</f>
        <v>573793</v>
      </c>
      <c r="O86" s="163" t="s">
        <v>110</v>
      </c>
      <c r="P86" s="62" t="s">
        <v>102</v>
      </c>
      <c r="Q86" s="1054">
        <v>560000</v>
      </c>
      <c r="R86" s="1054">
        <f>560000</f>
        <v>560000</v>
      </c>
      <c r="S86" s="1104" t="s">
        <v>6232</v>
      </c>
      <c r="T86" s="69" t="s">
        <v>97</v>
      </c>
      <c r="U86" s="31" t="s">
        <v>98</v>
      </c>
    </row>
    <row r="87" spans="1:22" s="71" customFormat="1">
      <c r="B87" s="1119"/>
      <c r="C87" s="69"/>
      <c r="D87" s="679"/>
      <c r="E87" s="58"/>
      <c r="F87" s="1103"/>
      <c r="G87" s="1119"/>
      <c r="H87" s="67"/>
      <c r="I87" s="125"/>
      <c r="J87" s="68"/>
      <c r="K87" s="73"/>
      <c r="L87" s="68"/>
      <c r="M87" s="68"/>
      <c r="N87" s="10"/>
      <c r="O87" s="1136"/>
      <c r="P87" s="23"/>
      <c r="Q87" s="117"/>
      <c r="R87" s="117"/>
      <c r="S87" s="339"/>
      <c r="T87" s="58"/>
      <c r="U87" s="22"/>
    </row>
    <row r="88" spans="1:22" s="30" customFormat="1" ht="60">
      <c r="B88" s="142" t="s">
        <v>100</v>
      </c>
      <c r="C88" s="69" t="s">
        <v>79</v>
      </c>
      <c r="D88" s="552">
        <v>40899</v>
      </c>
      <c r="E88" s="214" t="s">
        <v>4618</v>
      </c>
      <c r="F88" s="1134" t="s">
        <v>4617</v>
      </c>
      <c r="G88" s="102"/>
      <c r="H88" s="93"/>
      <c r="I88" s="124"/>
      <c r="J88" s="35"/>
      <c r="K88" s="21">
        <v>165000</v>
      </c>
      <c r="L88" s="35"/>
      <c r="M88" s="22">
        <f>SUM(J88:L88)</f>
        <v>165000</v>
      </c>
      <c r="N88" s="35"/>
      <c r="O88" s="163" t="s">
        <v>110</v>
      </c>
      <c r="P88" s="62" t="s">
        <v>104</v>
      </c>
      <c r="Q88" s="1054">
        <v>165000</v>
      </c>
      <c r="R88" s="1054">
        <v>165000</v>
      </c>
      <c r="S88" s="1104" t="s">
        <v>6092</v>
      </c>
      <c r="T88" s="69" t="s">
        <v>15</v>
      </c>
      <c r="U88" s="31" t="s">
        <v>147</v>
      </c>
    </row>
    <row r="89" spans="1:22" s="71" customFormat="1">
      <c r="B89" s="1119"/>
      <c r="C89" s="69"/>
      <c r="D89" s="679"/>
      <c r="E89" s="58"/>
      <c r="F89" s="1103"/>
      <c r="G89" s="1119"/>
      <c r="H89" s="67"/>
      <c r="I89" s="125"/>
      <c r="J89" s="68"/>
      <c r="K89" s="73"/>
      <c r="L89" s="68"/>
      <c r="M89" s="68"/>
      <c r="N89" s="10"/>
      <c r="O89" s="1136"/>
      <c r="P89" s="23"/>
      <c r="Q89" s="117"/>
      <c r="R89" s="117"/>
      <c r="S89" s="339"/>
      <c r="T89" s="58"/>
      <c r="U89" s="22"/>
    </row>
    <row r="90" spans="1:22" s="71" customFormat="1">
      <c r="A90" s="758" t="s">
        <v>4848</v>
      </c>
      <c r="B90" s="53" t="s">
        <v>4847</v>
      </c>
      <c r="C90" s="69"/>
      <c r="D90" s="679"/>
      <c r="E90" s="949"/>
      <c r="F90" s="1103"/>
      <c r="G90" s="1119"/>
      <c r="H90" s="67"/>
      <c r="I90" s="125"/>
      <c r="J90" s="145">
        <f>J92</f>
        <v>0</v>
      </c>
      <c r="K90" s="145">
        <f t="shared" ref="K90:L90" si="35">K92</f>
        <v>500000</v>
      </c>
      <c r="L90" s="145">
        <f t="shared" si="35"/>
        <v>0</v>
      </c>
      <c r="M90" s="145">
        <f>M91</f>
        <v>500000</v>
      </c>
      <c r="N90" s="10"/>
      <c r="O90" s="1136"/>
      <c r="P90" s="23"/>
      <c r="Q90" s="145">
        <f t="shared" ref="Q90:R91" si="36">Q91</f>
        <v>0</v>
      </c>
      <c r="R90" s="145">
        <f t="shared" si="36"/>
        <v>492290</v>
      </c>
      <c r="S90" s="339"/>
      <c r="T90" s="58"/>
      <c r="U90" s="22"/>
    </row>
    <row r="91" spans="1:22" s="30" customFormat="1">
      <c r="B91" s="53" t="s">
        <v>70</v>
      </c>
      <c r="C91" s="41"/>
      <c r="D91" s="350"/>
      <c r="E91" s="949"/>
      <c r="F91" s="168"/>
      <c r="G91" s="41"/>
      <c r="H91" s="42"/>
      <c r="I91" s="134"/>
      <c r="J91" s="68"/>
      <c r="K91" s="73"/>
      <c r="L91" s="68"/>
      <c r="M91" s="957">
        <f>M92</f>
        <v>500000</v>
      </c>
      <c r="N91" s="42"/>
      <c r="O91" s="164"/>
      <c r="P91" s="43"/>
      <c r="Q91" s="957">
        <f t="shared" si="36"/>
        <v>0</v>
      </c>
      <c r="R91" s="957">
        <f t="shared" si="36"/>
        <v>492290</v>
      </c>
      <c r="S91" s="1056"/>
      <c r="T91" s="43"/>
    </row>
    <row r="92" spans="1:22" s="30" customFormat="1">
      <c r="B92" s="341" t="s">
        <v>11</v>
      </c>
      <c r="C92" s="41"/>
      <c r="D92" s="350"/>
      <c r="E92" s="1137"/>
      <c r="F92" s="168"/>
      <c r="G92" s="41"/>
      <c r="H92" s="42"/>
      <c r="I92" s="134"/>
      <c r="J92" s="147">
        <f>J93</f>
        <v>0</v>
      </c>
      <c r="K92" s="147">
        <f t="shared" ref="K92:M92" si="37">K93</f>
        <v>500000</v>
      </c>
      <c r="L92" s="147">
        <f t="shared" si="37"/>
        <v>0</v>
      </c>
      <c r="M92" s="147">
        <f t="shared" si="37"/>
        <v>500000</v>
      </c>
      <c r="N92" s="42"/>
      <c r="O92" s="164"/>
      <c r="P92" s="43"/>
      <c r="Q92" s="7">
        <f t="shared" ref="Q92:R92" si="38">Q93</f>
        <v>0</v>
      </c>
      <c r="R92" s="7">
        <f t="shared" si="38"/>
        <v>492290</v>
      </c>
      <c r="S92" s="1056"/>
      <c r="T92" s="43"/>
    </row>
    <row r="93" spans="1:22" s="28" customFormat="1" ht="51.75" customHeight="1">
      <c r="B93" s="160"/>
      <c r="C93" s="23" t="s">
        <v>68</v>
      </c>
      <c r="D93" s="29">
        <v>40899</v>
      </c>
      <c r="E93" s="780" t="s">
        <v>5499</v>
      </c>
      <c r="F93" s="1134" t="s">
        <v>5831</v>
      </c>
      <c r="G93" s="18"/>
      <c r="H93" s="21"/>
      <c r="I93" s="130"/>
      <c r="J93" s="35"/>
      <c r="K93" s="688">
        <v>500000</v>
      </c>
      <c r="L93" s="35"/>
      <c r="M93" s="22">
        <f>SUM(J93:L93)</f>
        <v>500000</v>
      </c>
      <c r="N93" s="35"/>
      <c r="O93" s="163" t="s">
        <v>110</v>
      </c>
      <c r="P93" s="62" t="s">
        <v>102</v>
      </c>
      <c r="Q93" s="1054">
        <v>0</v>
      </c>
      <c r="R93" s="1054">
        <v>492290</v>
      </c>
      <c r="S93" s="1104" t="s">
        <v>6231</v>
      </c>
      <c r="T93" s="58" t="s">
        <v>15</v>
      </c>
      <c r="U93" s="15" t="s">
        <v>69</v>
      </c>
      <c r="V93" s="15"/>
    </row>
    <row r="94" spans="1:22" s="28" customFormat="1">
      <c r="B94" s="95"/>
      <c r="C94" s="23"/>
      <c r="D94" s="29"/>
      <c r="E94" s="780"/>
      <c r="F94" s="96"/>
      <c r="G94" s="18"/>
      <c r="H94" s="21"/>
      <c r="I94" s="130"/>
      <c r="J94" s="35"/>
      <c r="K94" s="21"/>
      <c r="L94" s="35"/>
      <c r="M94" s="22"/>
      <c r="N94" s="35"/>
      <c r="O94" s="37"/>
      <c r="P94" s="62"/>
      <c r="Q94" s="37"/>
      <c r="R94" s="37"/>
      <c r="S94" s="1119"/>
      <c r="T94" s="58"/>
      <c r="U94" s="15"/>
      <c r="V94" s="15"/>
    </row>
    <row r="95" spans="1:22" s="28" customFormat="1">
      <c r="A95" s="758" t="s">
        <v>4849</v>
      </c>
      <c r="B95" s="53" t="s">
        <v>4858</v>
      </c>
      <c r="C95" s="23"/>
      <c r="D95" s="29"/>
      <c r="E95" s="950"/>
      <c r="F95" s="96"/>
      <c r="G95" s="18"/>
      <c r="H95" s="21"/>
      <c r="I95" s="130"/>
      <c r="J95" s="35"/>
      <c r="K95" s="21"/>
      <c r="L95" s="35"/>
      <c r="M95" s="22"/>
      <c r="N95" s="35"/>
      <c r="O95" s="37"/>
      <c r="P95" s="62"/>
      <c r="Q95" s="37"/>
      <c r="R95" s="37"/>
      <c r="S95" s="1119"/>
      <c r="T95" s="58"/>
      <c r="U95" s="15"/>
      <c r="V95" s="15"/>
    </row>
    <row r="96" spans="1:22" s="71" customFormat="1">
      <c r="B96" s="1119"/>
      <c r="C96" s="69"/>
      <c r="D96" s="679"/>
      <c r="E96" s="58"/>
      <c r="F96" s="1103"/>
      <c r="G96" s="1119"/>
      <c r="H96" s="67"/>
      <c r="I96" s="125"/>
      <c r="J96" s="68"/>
      <c r="K96" s="73"/>
      <c r="L96" s="68"/>
      <c r="M96" s="68"/>
      <c r="N96" s="10"/>
      <c r="O96" s="1136"/>
      <c r="P96" s="23"/>
      <c r="Q96" s="117"/>
      <c r="R96" s="117"/>
      <c r="S96" s="339"/>
      <c r="T96" s="58"/>
      <c r="U96" s="22"/>
    </row>
    <row r="97" spans="1:266" s="71" customFormat="1">
      <c r="A97" s="758" t="s">
        <v>4851</v>
      </c>
      <c r="B97" s="53" t="s">
        <v>4850</v>
      </c>
      <c r="C97" s="69"/>
      <c r="D97" s="679"/>
      <c r="E97" s="949"/>
      <c r="F97" s="1103"/>
      <c r="G97" s="1119"/>
      <c r="H97" s="67"/>
      <c r="I97" s="125"/>
      <c r="J97" s="68"/>
      <c r="K97" s="73"/>
      <c r="L97" s="68"/>
      <c r="M97" s="68"/>
      <c r="N97" s="10"/>
      <c r="O97" s="1136"/>
      <c r="P97" s="23"/>
      <c r="Q97" s="117"/>
      <c r="R97" s="117"/>
      <c r="S97" s="339"/>
      <c r="T97" s="58"/>
      <c r="U97" s="22"/>
    </row>
    <row r="98" spans="1:266" s="30" customFormat="1">
      <c r="B98" s="53" t="s">
        <v>73</v>
      </c>
      <c r="C98" s="69"/>
      <c r="D98" s="679"/>
      <c r="E98" s="949"/>
      <c r="F98" s="159"/>
      <c r="G98" s="104"/>
      <c r="H98" s="93"/>
      <c r="I98" s="135">
        <v>270000</v>
      </c>
      <c r="J98" s="36">
        <f>SUM(J99:J100)</f>
        <v>0</v>
      </c>
      <c r="K98" s="36">
        <f>SUM(K99:K100)</f>
        <v>117000</v>
      </c>
      <c r="L98" s="36">
        <f>SUM(L99:L100)</f>
        <v>153000</v>
      </c>
      <c r="M98" s="36">
        <f>SUM(M99:M100)</f>
        <v>270000</v>
      </c>
      <c r="N98" s="35"/>
      <c r="O98" s="37"/>
      <c r="P98" s="32"/>
      <c r="Q98" s="36">
        <f t="shared" ref="Q98:R98" si="39">SUM(Q99:Q100)</f>
        <v>270000</v>
      </c>
      <c r="R98" s="36">
        <f t="shared" si="39"/>
        <v>196972</v>
      </c>
      <c r="S98" s="1119"/>
      <c r="T98" s="69"/>
      <c r="U98" s="31"/>
    </row>
    <row r="99" spans="1:266" s="30" customFormat="1" ht="48" customHeight="1">
      <c r="B99" s="142" t="s">
        <v>74</v>
      </c>
      <c r="C99" s="69" t="s">
        <v>75</v>
      </c>
      <c r="D99" s="29">
        <v>40899</v>
      </c>
      <c r="E99" s="214" t="s">
        <v>4618</v>
      </c>
      <c r="F99" s="159" t="s">
        <v>4617</v>
      </c>
      <c r="G99" s="102"/>
      <c r="H99" s="67"/>
      <c r="I99" s="124"/>
      <c r="J99" s="35"/>
      <c r="K99" s="21"/>
      <c r="L99" s="21">
        <v>153000</v>
      </c>
      <c r="M99" s="22">
        <f>SUM(J99:L99)</f>
        <v>153000</v>
      </c>
      <c r="N99" s="21"/>
      <c r="O99" s="163" t="s">
        <v>110</v>
      </c>
      <c r="P99" s="62" t="s">
        <v>104</v>
      </c>
      <c r="Q99" s="1054">
        <v>153000</v>
      </c>
      <c r="R99" s="1054">
        <v>153000</v>
      </c>
      <c r="S99" s="1055" t="s">
        <v>6093</v>
      </c>
      <c r="T99" s="69" t="s">
        <v>15</v>
      </c>
      <c r="U99" s="31" t="s">
        <v>147</v>
      </c>
    </row>
    <row r="100" spans="1:266" s="30" customFormat="1" ht="30">
      <c r="B100" s="142" t="s">
        <v>74</v>
      </c>
      <c r="C100" s="69" t="s">
        <v>77</v>
      </c>
      <c r="D100" s="29">
        <v>40899</v>
      </c>
      <c r="E100" s="214" t="s">
        <v>4618</v>
      </c>
      <c r="F100" s="159" t="s">
        <v>4617</v>
      </c>
      <c r="G100" s="102"/>
      <c r="H100" s="67"/>
      <c r="I100" s="124"/>
      <c r="J100" s="35"/>
      <c r="K100" s="21">
        <v>117000</v>
      </c>
      <c r="L100" s="21"/>
      <c r="M100" s="22">
        <f>SUM(J100:L100)</f>
        <v>117000</v>
      </c>
      <c r="N100" s="21"/>
      <c r="O100" s="163" t="s">
        <v>110</v>
      </c>
      <c r="P100" s="62" t="s">
        <v>104</v>
      </c>
      <c r="Q100" s="1054">
        <v>117000</v>
      </c>
      <c r="R100" s="1054">
        <v>43972</v>
      </c>
      <c r="S100" s="1104" t="s">
        <v>506</v>
      </c>
      <c r="T100" s="69" t="s">
        <v>15</v>
      </c>
      <c r="U100" s="31" t="s">
        <v>147</v>
      </c>
    </row>
    <row r="101" spans="1:266" s="71" customFormat="1">
      <c r="B101" s="1119"/>
      <c r="C101" s="69"/>
      <c r="D101" s="679"/>
      <c r="E101" s="58"/>
      <c r="F101" s="1103"/>
      <c r="G101" s="1119"/>
      <c r="H101" s="67"/>
      <c r="I101" s="125"/>
      <c r="J101" s="68"/>
      <c r="K101" s="73"/>
      <c r="L101" s="68"/>
      <c r="M101" s="68"/>
      <c r="N101" s="10"/>
      <c r="O101" s="1136"/>
      <c r="P101" s="23"/>
      <c r="Q101" s="117"/>
      <c r="R101" s="117"/>
      <c r="S101" s="339"/>
      <c r="T101" s="58"/>
      <c r="U101" s="22"/>
    </row>
    <row r="102" spans="1:266" s="71" customFormat="1">
      <c r="A102" s="758" t="s">
        <v>4853</v>
      </c>
      <c r="B102" s="53" t="s">
        <v>4852</v>
      </c>
      <c r="C102" s="69"/>
      <c r="D102" s="679"/>
      <c r="E102" s="949"/>
      <c r="F102" s="1103"/>
      <c r="G102" s="1119"/>
      <c r="H102" s="67"/>
      <c r="I102" s="125"/>
      <c r="J102" s="68"/>
      <c r="K102" s="73"/>
      <c r="L102" s="68"/>
      <c r="M102" s="68"/>
      <c r="N102" s="10"/>
      <c r="O102" s="1136"/>
      <c r="P102" s="23"/>
      <c r="Q102" s="117"/>
      <c r="R102" s="117"/>
      <c r="S102" s="339"/>
      <c r="T102" s="58"/>
      <c r="U102" s="22"/>
    </row>
    <row r="103" spans="1:266" s="24" customFormat="1">
      <c r="B103" s="53" t="s">
        <v>112</v>
      </c>
      <c r="C103" s="19"/>
      <c r="D103" s="29"/>
      <c r="E103" s="949"/>
      <c r="F103" s="161"/>
      <c r="G103" s="34"/>
      <c r="H103" s="35">
        <v>5441000</v>
      </c>
      <c r="I103" s="133">
        <v>300000</v>
      </c>
      <c r="J103" s="36">
        <f>SUM(J104:J105)</f>
        <v>0</v>
      </c>
      <c r="K103" s="36">
        <f>SUM(K104:K105)</f>
        <v>300000</v>
      </c>
      <c r="L103" s="36">
        <f>SUM(L104:L105)</f>
        <v>0</v>
      </c>
      <c r="M103" s="36">
        <f>SUM(M104:M105)</f>
        <v>300000</v>
      </c>
      <c r="N103" s="35">
        <f>H103+M103</f>
        <v>5741000</v>
      </c>
      <c r="O103" s="37"/>
      <c r="P103" s="19"/>
      <c r="Q103" s="36">
        <f t="shared" ref="Q103:R103" si="40">SUM(Q104:Q105)</f>
        <v>0</v>
      </c>
      <c r="R103" s="36">
        <f t="shared" si="40"/>
        <v>0</v>
      </c>
      <c r="S103" s="1119"/>
      <c r="T103" s="37"/>
      <c r="U103" s="28"/>
    </row>
    <row r="104" spans="1:266" s="24" customFormat="1" ht="30">
      <c r="B104" s="160" t="s">
        <v>101</v>
      </c>
      <c r="C104" s="19" t="s">
        <v>19</v>
      </c>
      <c r="D104" s="29">
        <v>40899</v>
      </c>
      <c r="E104" s="780" t="s">
        <v>5642</v>
      </c>
      <c r="F104" s="18" t="s">
        <v>6567</v>
      </c>
      <c r="G104" s="18"/>
      <c r="H104" s="21"/>
      <c r="I104" s="130"/>
      <c r="J104" s="21"/>
      <c r="K104" s="21"/>
      <c r="L104" s="21">
        <v>300000</v>
      </c>
      <c r="M104" s="22">
        <f>SUM(J104:L104)</f>
        <v>300000</v>
      </c>
      <c r="N104" s="21"/>
      <c r="O104" s="163" t="s">
        <v>110</v>
      </c>
      <c r="P104" s="62" t="s">
        <v>102</v>
      </c>
      <c r="Q104" s="1054"/>
      <c r="R104" s="1054"/>
      <c r="S104" s="1104"/>
      <c r="T104" s="23" t="s">
        <v>15</v>
      </c>
      <c r="U104" s="28" t="s">
        <v>20</v>
      </c>
    </row>
    <row r="105" spans="1:266" s="40" customFormat="1" ht="75">
      <c r="B105" s="160" t="s">
        <v>16</v>
      </c>
      <c r="C105" s="23" t="s">
        <v>21</v>
      </c>
      <c r="D105" s="20">
        <v>40906</v>
      </c>
      <c r="E105" s="780" t="s">
        <v>5642</v>
      </c>
      <c r="F105" s="161" t="s">
        <v>5832</v>
      </c>
      <c r="G105" s="18"/>
      <c r="H105" s="21"/>
      <c r="I105" s="130"/>
      <c r="J105" s="21"/>
      <c r="K105" s="21">
        <v>300000</v>
      </c>
      <c r="L105" s="21">
        <v>-300000</v>
      </c>
      <c r="M105" s="38">
        <f>SUM(J105:L105)</f>
        <v>0</v>
      </c>
      <c r="N105" s="21"/>
      <c r="O105" s="163" t="s">
        <v>110</v>
      </c>
      <c r="P105" s="62" t="s">
        <v>102</v>
      </c>
      <c r="Q105" s="1054"/>
      <c r="R105" s="1054"/>
      <c r="S105" s="1104"/>
      <c r="T105" s="23" t="s">
        <v>15</v>
      </c>
      <c r="U105" s="28" t="s">
        <v>20</v>
      </c>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row>
    <row r="106" spans="1:266" s="71" customFormat="1">
      <c r="B106" s="1119"/>
      <c r="C106" s="69"/>
      <c r="D106" s="679"/>
      <c r="E106" s="58"/>
      <c r="F106" s="1103"/>
      <c r="G106" s="1119"/>
      <c r="H106" s="67"/>
      <c r="I106" s="125"/>
      <c r="J106" s="68"/>
      <c r="K106" s="73"/>
      <c r="L106" s="68"/>
      <c r="M106" s="68"/>
      <c r="N106" s="10"/>
      <c r="O106" s="1136"/>
      <c r="P106" s="23"/>
      <c r="Q106" s="117"/>
      <c r="R106" s="117"/>
      <c r="S106" s="339"/>
      <c r="T106" s="58"/>
      <c r="U106" s="22"/>
    </row>
    <row r="107" spans="1:266" s="71" customFormat="1" ht="30">
      <c r="A107" s="758" t="s">
        <v>4855</v>
      </c>
      <c r="B107" s="148" t="s">
        <v>4854</v>
      </c>
      <c r="C107" s="69"/>
      <c r="D107" s="679"/>
      <c r="E107" s="950"/>
      <c r="F107" s="1103"/>
      <c r="G107" s="1119"/>
      <c r="H107" s="67"/>
      <c r="I107" s="125"/>
      <c r="J107" s="68"/>
      <c r="K107" s="73"/>
      <c r="L107" s="68"/>
      <c r="M107" s="68"/>
      <c r="N107" s="10"/>
      <c r="O107" s="1136"/>
      <c r="P107" s="23"/>
      <c r="Q107" s="117"/>
      <c r="R107" s="117"/>
      <c r="S107" s="339"/>
      <c r="T107" s="58"/>
      <c r="U107" s="22"/>
    </row>
    <row r="108" spans="1:266" s="71" customFormat="1">
      <c r="B108" s="148" t="s">
        <v>78</v>
      </c>
      <c r="C108" s="69"/>
      <c r="D108" s="679"/>
      <c r="E108" s="950"/>
      <c r="F108" s="1103"/>
      <c r="G108" s="1119"/>
      <c r="H108" s="67"/>
      <c r="I108" s="125">
        <v>5000</v>
      </c>
      <c r="J108" s="36">
        <f>SUM(J109)</f>
        <v>0</v>
      </c>
      <c r="K108" s="36">
        <f t="shared" ref="K108:M108" si="41">SUM(K109)</f>
        <v>5000</v>
      </c>
      <c r="L108" s="36">
        <f t="shared" si="41"/>
        <v>0</v>
      </c>
      <c r="M108" s="36">
        <f t="shared" si="41"/>
        <v>5000</v>
      </c>
      <c r="N108" s="10"/>
      <c r="O108" s="1136"/>
      <c r="P108" s="23"/>
      <c r="Q108" s="36">
        <f t="shared" ref="Q108:R108" si="42">SUM(Q109)</f>
        <v>5000</v>
      </c>
      <c r="R108" s="36">
        <f t="shared" si="42"/>
        <v>5000</v>
      </c>
      <c r="S108" s="339"/>
      <c r="T108" s="58"/>
      <c r="U108" s="22"/>
    </row>
    <row r="109" spans="1:266" s="30" customFormat="1" ht="90">
      <c r="B109" s="142"/>
      <c r="C109" s="69" t="s">
        <v>80</v>
      </c>
      <c r="D109" s="29">
        <v>40899</v>
      </c>
      <c r="E109" s="214" t="s">
        <v>4618</v>
      </c>
      <c r="F109" s="1134" t="s">
        <v>4617</v>
      </c>
      <c r="G109" s="102"/>
      <c r="H109" s="93"/>
      <c r="I109" s="124"/>
      <c r="J109" s="35"/>
      <c r="K109" s="21">
        <v>5000</v>
      </c>
      <c r="L109" s="35"/>
      <c r="M109" s="22">
        <f>SUM(J109:L109)</f>
        <v>5000</v>
      </c>
      <c r="N109" s="35"/>
      <c r="O109" s="163" t="s">
        <v>110</v>
      </c>
      <c r="P109" s="62" t="s">
        <v>104</v>
      </c>
      <c r="Q109" s="1054">
        <v>5000</v>
      </c>
      <c r="R109" s="1054">
        <v>5000</v>
      </c>
      <c r="S109" s="1104" t="s">
        <v>6094</v>
      </c>
      <c r="T109" s="69" t="s">
        <v>15</v>
      </c>
      <c r="U109" s="31" t="s">
        <v>147</v>
      </c>
    </row>
    <row r="110" spans="1:266" s="71" customFormat="1">
      <c r="B110" s="1119"/>
      <c r="C110" s="69"/>
      <c r="D110" s="679"/>
      <c r="E110" s="58"/>
      <c r="F110" s="1103"/>
      <c r="G110" s="1119"/>
      <c r="H110" s="67"/>
      <c r="I110" s="125"/>
      <c r="J110" s="68"/>
      <c r="K110" s="73"/>
      <c r="L110" s="68"/>
      <c r="M110" s="68"/>
      <c r="N110" s="10"/>
      <c r="O110" s="1136"/>
      <c r="P110" s="1136"/>
      <c r="Q110" s="117"/>
      <c r="R110" s="117"/>
      <c r="S110" s="339"/>
      <c r="T110" s="58"/>
      <c r="U110" s="22"/>
    </row>
    <row r="111" spans="1:266" s="71" customFormat="1">
      <c r="A111" s="758" t="s">
        <v>4856</v>
      </c>
      <c r="B111" s="148" t="s">
        <v>4857</v>
      </c>
      <c r="C111" s="69"/>
      <c r="D111" s="679"/>
      <c r="E111" s="950"/>
      <c r="F111" s="1103"/>
      <c r="G111" s="1119"/>
      <c r="H111" s="67"/>
      <c r="I111" s="125"/>
      <c r="J111" s="68"/>
      <c r="K111" s="73"/>
      <c r="L111" s="68"/>
      <c r="M111" s="68"/>
      <c r="N111" s="10"/>
      <c r="O111" s="1136"/>
      <c r="P111" s="1136"/>
      <c r="Q111" s="117"/>
      <c r="R111" s="117"/>
      <c r="S111" s="339"/>
      <c r="T111" s="58"/>
      <c r="U111" s="22"/>
    </row>
    <row r="112" spans="1:266" s="24" customFormat="1">
      <c r="B112" s="53" t="s">
        <v>57</v>
      </c>
      <c r="C112" s="55"/>
      <c r="D112" s="56"/>
      <c r="E112" s="949"/>
      <c r="F112" s="60"/>
      <c r="G112" s="28"/>
      <c r="H112" s="67"/>
      <c r="I112" s="135">
        <v>248327</v>
      </c>
      <c r="J112" s="121">
        <f>SUM(J113)</f>
        <v>0</v>
      </c>
      <c r="K112" s="121">
        <f t="shared" ref="K112:M112" si="43">SUM(K113)</f>
        <v>0</v>
      </c>
      <c r="L112" s="121">
        <f t="shared" si="43"/>
        <v>248327</v>
      </c>
      <c r="M112" s="121">
        <f t="shared" si="43"/>
        <v>248327</v>
      </c>
      <c r="N112" s="22"/>
      <c r="O112" s="23"/>
      <c r="P112" s="23"/>
      <c r="Q112" s="121">
        <f t="shared" ref="Q112:R113" si="44">SUM(Q113)</f>
        <v>248327</v>
      </c>
      <c r="R112" s="121">
        <f t="shared" si="44"/>
        <v>248327</v>
      </c>
      <c r="S112" s="106"/>
      <c r="T112" s="23"/>
      <c r="U112" s="15"/>
    </row>
    <row r="113" spans="1:21" s="81" customFormat="1">
      <c r="B113" s="4" t="s">
        <v>53</v>
      </c>
      <c r="C113" s="77"/>
      <c r="D113" s="78"/>
      <c r="E113" s="1137"/>
      <c r="F113" s="1103"/>
      <c r="G113" s="1103"/>
      <c r="H113" s="74"/>
      <c r="I113" s="128"/>
      <c r="J113" s="80">
        <f>SUM(J114)</f>
        <v>0</v>
      </c>
      <c r="K113" s="80">
        <f>SUM(K114)</f>
        <v>0</v>
      </c>
      <c r="L113" s="80">
        <f t="shared" ref="L113:M113" si="45">SUM(L114)</f>
        <v>248327</v>
      </c>
      <c r="M113" s="80">
        <f t="shared" si="45"/>
        <v>248327</v>
      </c>
      <c r="N113" s="74"/>
      <c r="O113" s="154"/>
      <c r="P113" s="154"/>
      <c r="Q113" s="121">
        <f t="shared" si="44"/>
        <v>248327</v>
      </c>
      <c r="R113" s="121">
        <f t="shared" si="44"/>
        <v>248327</v>
      </c>
      <c r="S113" s="1060"/>
      <c r="T113" s="152"/>
    </row>
    <row r="114" spans="1:21" s="81" customFormat="1" ht="75">
      <c r="B114" s="162" t="s">
        <v>54</v>
      </c>
      <c r="C114" s="55" t="s">
        <v>55</v>
      </c>
      <c r="D114" s="56">
        <v>40899</v>
      </c>
      <c r="E114" s="947" t="s">
        <v>2869</v>
      </c>
      <c r="F114" s="60" t="s">
        <v>5833</v>
      </c>
      <c r="G114" s="28"/>
      <c r="H114" s="74">
        <v>174372</v>
      </c>
      <c r="I114" s="124"/>
      <c r="J114" s="79"/>
      <c r="K114" s="74"/>
      <c r="L114" s="22">
        <v>248327</v>
      </c>
      <c r="M114" s="74">
        <f>SUM(K114:L114)</f>
        <v>248327</v>
      </c>
      <c r="N114" s="10">
        <f t="shared" ref="N114" si="46">M114+H114</f>
        <v>422699</v>
      </c>
      <c r="O114" s="163" t="s">
        <v>110</v>
      </c>
      <c r="P114" s="62" t="s">
        <v>102</v>
      </c>
      <c r="Q114" s="1054">
        <v>248327</v>
      </c>
      <c r="R114" s="1054">
        <v>248327</v>
      </c>
      <c r="S114" s="1104" t="s">
        <v>4737</v>
      </c>
      <c r="T114" s="152" t="s">
        <v>15</v>
      </c>
      <c r="U114" s="14" t="s">
        <v>56</v>
      </c>
    </row>
    <row r="115" spans="1:21" s="24" customFormat="1">
      <c r="B115" s="66"/>
      <c r="C115" s="55"/>
      <c r="D115" s="56"/>
      <c r="E115" s="19"/>
      <c r="F115" s="60"/>
      <c r="G115" s="28"/>
      <c r="H115" s="67"/>
      <c r="I115" s="124"/>
      <c r="J115" s="22"/>
      <c r="K115" s="22"/>
      <c r="L115" s="22"/>
      <c r="M115" s="68"/>
      <c r="N115" s="22"/>
      <c r="O115" s="23"/>
      <c r="P115" s="23"/>
      <c r="Q115" s="166"/>
      <c r="R115" s="166"/>
      <c r="S115" s="106"/>
      <c r="T115" s="23"/>
      <c r="U115" s="15"/>
    </row>
    <row r="116" spans="1:21" s="24" customFormat="1">
      <c r="A116" s="758" t="s">
        <v>4833</v>
      </c>
      <c r="B116" s="53" t="s">
        <v>4859</v>
      </c>
      <c r="C116" s="55"/>
      <c r="D116" s="56"/>
      <c r="E116" s="19"/>
      <c r="F116" s="60"/>
      <c r="G116" s="28"/>
      <c r="H116" s="67"/>
      <c r="I116" s="124"/>
      <c r="J116" s="22"/>
      <c r="K116" s="22"/>
      <c r="L116" s="22"/>
      <c r="M116" s="68"/>
      <c r="N116" s="22"/>
      <c r="O116" s="23"/>
      <c r="P116" s="23"/>
      <c r="Q116" s="166"/>
      <c r="R116" s="166"/>
      <c r="S116" s="106"/>
      <c r="T116" s="23"/>
      <c r="U116" s="15"/>
    </row>
    <row r="119" spans="1:21" s="45" customFormat="1" ht="20.100000000000001" customHeight="1" thickBot="1">
      <c r="B119" s="35" t="s">
        <v>4535</v>
      </c>
      <c r="C119" s="729"/>
      <c r="D119" s="732"/>
      <c r="E119" s="77"/>
      <c r="F119" s="728"/>
      <c r="G119" s="729"/>
      <c r="H119" s="730"/>
      <c r="I119" s="731">
        <f>I10+I16+I20+I23+I44+I48+I60+I64+I68+I70+I98+I103+I108+I112+I83</f>
        <v>13379918</v>
      </c>
      <c r="J119" s="731">
        <f>J10+J16+J20+J23+J44+J48+J60+J64+J68+J70+J98+J103+J108+J112+J83</f>
        <v>0</v>
      </c>
      <c r="K119" s="731">
        <f>K10+K16+K20+K23+K44+K48+K60+K64+K68+K70+K98+K103+K108+K112+K83</f>
        <v>4973069.4879999999</v>
      </c>
      <c r="L119" s="731">
        <f>L10+L16+L20+L23+L44+L48+L60+L64+L68+L70+L98+L103+L108+L112+L83</f>
        <v>6031088</v>
      </c>
      <c r="M119" s="731">
        <f>M10+M16+M20+M23+M44+M48+M60+M64+M68+M70+M98+M103+M108+M112+M83</f>
        <v>11004157.488</v>
      </c>
      <c r="N119" s="730"/>
      <c r="O119" s="733"/>
      <c r="P119" s="733"/>
      <c r="Q119" s="731">
        <f t="shared" ref="Q119:R119" si="47">Q10+Q16+Q20+Q23+Q44+Q48+Q60+Q64+Q68+Q70+Q98+Q103+Q108+Q112+Q83</f>
        <v>5759846.4879999999</v>
      </c>
      <c r="R119" s="731">
        <f t="shared" si="47"/>
        <v>6290508.4879999999</v>
      </c>
      <c r="S119" s="734"/>
      <c r="T119" s="735"/>
      <c r="U119" s="729"/>
    </row>
    <row r="120" spans="1:21" ht="15.75" thickTop="1"/>
    <row r="181" spans="2:2">
      <c r="B181" s="3" t="s">
        <v>22</v>
      </c>
    </row>
    <row r="730" spans="3:3">
      <c r="C730" s="3" t="s">
        <v>23</v>
      </c>
    </row>
    <row r="731" spans="3:3">
      <c r="C731" s="3" t="s">
        <v>24</v>
      </c>
    </row>
  </sheetData>
  <customSheetViews>
    <customSheetView guid="{0D143C80-1B42-417D-B6C0-C88521CF36C7}" showPageBreaks="1" printArea="1" hiddenColumns="1" view="pageBreakPreview">
      <pane xSplit="2" ySplit="5" topLeftCell="I27" activePane="bottomRight" state="frozen"/>
      <selection pane="bottomRight" sqref="A1:XFD1048576"/>
      <rowBreaks count="5" manualBreakCount="5">
        <brk id="22" max="20" man="1"/>
        <brk id="61" max="20" man="1"/>
        <brk id="73" max="20" man="1"/>
        <brk id="78" max="20" man="1"/>
        <brk id="104" max="20" man="1"/>
      </rowBreaks>
      <pageMargins left="0" right="0" top="0.3" bottom="0.3" header="0.4" footer="0.25"/>
      <printOptions horizontalCentered="1"/>
      <pageSetup paperSize="9" scale="55" orientation="landscape" r:id="rId1"/>
      <headerFooter>
        <oddFooter>&amp;C&amp;8&amp;P of &amp;N&amp;R&amp;8as of 28Dec31</oddFooter>
      </headerFooter>
    </customSheetView>
    <customSheetView guid="{5032F846-223D-4C05-81F5-66ECC60A941D}" showPageBreaks="1" printArea="1" hiddenColumns="1" view="pageBreakPreview">
      <pane xSplit="2" ySplit="5" topLeftCell="C95" activePane="bottomRight" state="frozen"/>
      <selection pane="bottomRight" activeCell="F105" sqref="F105"/>
      <rowBreaks count="3" manualBreakCount="3">
        <brk id="41" max="20" man="1"/>
        <brk id="79" max="20" man="1"/>
        <brk id="105" max="20" man="1"/>
      </rowBreaks>
      <pageMargins left="0.49" right="0.2" top="0.47" bottom="0.39" header="0.4" footer="0.25"/>
      <printOptions horizontalCentered="1"/>
      <pageSetup paperSize="9" scale="58" orientation="landscape" r:id="rId2"/>
      <headerFooter>
        <oddFooter>&amp;C&amp;8&amp;P of &amp;N&amp;R&amp;8as of 28Dec31</oddFooter>
      </headerFooter>
    </customSheetView>
  </customSheetViews>
  <mergeCells count="15">
    <mergeCell ref="U4:U5"/>
    <mergeCell ref="Q4:S4"/>
    <mergeCell ref="I4:I5"/>
    <mergeCell ref="N4:N5"/>
    <mergeCell ref="P4:P5"/>
    <mergeCell ref="O4:O5"/>
    <mergeCell ref="T4:T5"/>
    <mergeCell ref="J4:L4"/>
    <mergeCell ref="M4:M5"/>
    <mergeCell ref="A4:B5"/>
    <mergeCell ref="E4:F4"/>
    <mergeCell ref="H4:H5"/>
    <mergeCell ref="G4:G5"/>
    <mergeCell ref="C4:C5"/>
    <mergeCell ref="D4:D5"/>
  </mergeCells>
  <printOptions horizontalCentered="1"/>
  <pageMargins left="0" right="0" top="0.3" bottom="0.3" header="0.4" footer="0.25"/>
  <pageSetup paperSize="9" scale="55" orientation="landscape" r:id="rId3"/>
  <headerFooter>
    <oddFooter>&amp;C&amp;8&amp;P of &amp;N&amp;R&amp;8as of 28Dec31</oddFooter>
  </headerFooter>
  <rowBreaks count="5" manualBreakCount="5">
    <brk id="22" max="20" man="1"/>
    <brk id="61" max="20" man="1"/>
    <brk id="73" max="20" man="1"/>
    <brk id="78" max="20" man="1"/>
    <brk id="104" max="20" man="1"/>
  </rowBreaks>
</worksheet>
</file>

<file path=xl/worksheets/sheet6.xml><?xml version="1.0" encoding="utf-8"?>
<worksheet xmlns="http://schemas.openxmlformats.org/spreadsheetml/2006/main" xmlns:r="http://schemas.openxmlformats.org/officeDocument/2006/relationships">
  <sheetPr>
    <tabColor rgb="FFFFFF00"/>
  </sheetPr>
  <dimension ref="A1:JI3347"/>
  <sheetViews>
    <sheetView view="pageBreakPreview" zoomScaleSheetLayoutView="100" workbookViewId="0">
      <pane xSplit="2" ySplit="5" topLeftCell="C117" activePane="bottomRight" state="frozen"/>
      <selection pane="topRight" activeCell="C1" sqref="C1"/>
      <selection pane="bottomLeft" activeCell="A6" sqref="A6"/>
      <selection pane="bottomRight" activeCell="C119" sqref="C119"/>
    </sheetView>
  </sheetViews>
  <sheetFormatPr defaultColWidth="9.140625" defaultRowHeight="15.95" customHeight="1"/>
  <cols>
    <col min="1" max="1" width="4.85546875" style="905" customWidth="1"/>
    <col min="2" max="2" width="49.28515625" style="21" customWidth="1"/>
    <col min="3" max="3" width="13" style="195" customWidth="1"/>
    <col min="4" max="4" width="11.42578125" style="557" customWidth="1"/>
    <col min="5" max="5" width="11.28515625" style="195" customWidth="1"/>
    <col min="6" max="6" width="29.85546875" style="194" customWidth="1"/>
    <col min="7" max="7" width="7" style="194" hidden="1" customWidth="1"/>
    <col min="8" max="8" width="11.42578125" style="194" hidden="1" customWidth="1"/>
    <col min="9" max="9" width="13.85546875" style="194" customWidth="1"/>
    <col min="10" max="10" width="12.140625" style="194" hidden="1" customWidth="1"/>
    <col min="11" max="11" width="13.140625" style="194" hidden="1" customWidth="1"/>
    <col min="12" max="12" width="12.42578125" style="194" hidden="1" customWidth="1"/>
    <col min="13" max="13" width="12.140625" style="194" customWidth="1"/>
    <col min="14" max="14" width="11.28515625" style="194" hidden="1" customWidth="1"/>
    <col min="15" max="15" width="11.7109375" style="195" customWidth="1"/>
    <col min="16" max="16" width="11.5703125" style="195" customWidth="1"/>
    <col min="17" max="17" width="12.85546875" style="556" customWidth="1"/>
    <col min="18" max="18" width="15.42578125" style="556" customWidth="1"/>
    <col min="19" max="19" width="26.7109375" style="877" customWidth="1"/>
    <col min="20" max="20" width="1.42578125" style="877" customWidth="1"/>
    <col min="21" max="21" width="25.42578125" style="877" customWidth="1"/>
    <col min="22" max="22" width="15.28515625" style="194" hidden="1" customWidth="1"/>
    <col min="23" max="23" width="16.28515625" style="905" customWidth="1"/>
    <col min="24" max="24" width="15.5703125" style="905" hidden="1" customWidth="1"/>
    <col min="25" max="25" width="9.140625" style="905" hidden="1" customWidth="1"/>
    <col min="26" max="235" width="9.140625" style="905"/>
    <col min="236" max="236" width="53.85546875" style="905" customWidth="1"/>
    <col min="237" max="237" width="20.140625" style="905" customWidth="1"/>
    <col min="238" max="238" width="8.140625" style="905" customWidth="1"/>
    <col min="239" max="239" width="11.28515625" style="905" customWidth="1"/>
    <col min="240" max="242" width="11.140625" style="905" customWidth="1"/>
    <col min="243" max="243" width="15.7109375" style="905" customWidth="1"/>
    <col min="244" max="244" width="11.140625" style="905" customWidth="1"/>
    <col min="245" max="251" width="9.140625" style="905" customWidth="1"/>
    <col min="252" max="16384" width="9.140625" style="905"/>
  </cols>
  <sheetData>
    <row r="1" spans="1:25" s="178" customFormat="1" ht="15" customHeight="1">
      <c r="A1" s="943" t="s">
        <v>4524</v>
      </c>
      <c r="B1" s="944"/>
      <c r="C1" s="176"/>
      <c r="D1" s="344"/>
      <c r="E1" s="777"/>
      <c r="F1" s="175"/>
      <c r="G1" s="174"/>
      <c r="H1" s="174"/>
      <c r="I1" s="174"/>
      <c r="J1" s="174"/>
      <c r="K1" s="174"/>
      <c r="L1" s="174"/>
      <c r="M1" s="174"/>
      <c r="N1" s="174"/>
      <c r="O1" s="176"/>
      <c r="P1" s="176"/>
      <c r="Q1" s="177"/>
      <c r="R1" s="177"/>
      <c r="S1" s="927"/>
      <c r="T1" s="927"/>
      <c r="U1" s="927"/>
      <c r="V1" s="174"/>
    </row>
    <row r="2" spans="1:25" s="178" customFormat="1" ht="15" customHeight="1">
      <c r="A2" s="943" t="s">
        <v>0</v>
      </c>
      <c r="B2" s="944"/>
      <c r="C2" s="176"/>
      <c r="D2" s="344"/>
      <c r="E2" s="777"/>
      <c r="F2" s="175"/>
      <c r="G2" s="174"/>
      <c r="H2" s="174"/>
      <c r="I2" s="174"/>
      <c r="J2" s="174"/>
      <c r="K2" s="174"/>
      <c r="L2" s="174"/>
      <c r="M2" s="174"/>
      <c r="N2" s="174"/>
      <c r="O2" s="176"/>
      <c r="P2" s="176"/>
      <c r="Q2" s="177"/>
      <c r="R2" s="177"/>
      <c r="S2" s="927"/>
      <c r="T2" s="927"/>
      <c r="U2" s="927"/>
      <c r="V2" s="174"/>
    </row>
    <row r="3" spans="1:25" s="178" customFormat="1" ht="15" customHeight="1">
      <c r="A3" s="945"/>
      <c r="B3" s="946"/>
      <c r="C3" s="176"/>
      <c r="D3" s="344"/>
      <c r="E3" s="778"/>
      <c r="F3" s="175"/>
      <c r="G3" s="174"/>
      <c r="H3" s="174"/>
      <c r="I3" s="174"/>
      <c r="J3" s="174"/>
      <c r="K3" s="174"/>
      <c r="L3" s="174"/>
      <c r="M3" s="174"/>
      <c r="N3" s="174"/>
      <c r="O3" s="176"/>
      <c r="P3" s="176"/>
      <c r="Q3" s="177"/>
      <c r="R3" s="177"/>
      <c r="S3" s="927"/>
      <c r="T3" s="927"/>
      <c r="U3" s="927"/>
      <c r="V3" s="174"/>
    </row>
    <row r="4" spans="1:25" ht="24.95" customHeight="1">
      <c r="A4" s="1350" t="s">
        <v>4470</v>
      </c>
      <c r="B4" s="1351"/>
      <c r="C4" s="1267" t="s">
        <v>2</v>
      </c>
      <c r="D4" s="1265" t="s">
        <v>3</v>
      </c>
      <c r="E4" s="1316" t="s">
        <v>4556</v>
      </c>
      <c r="F4" s="1316"/>
      <c r="G4" s="1292" t="s">
        <v>114</v>
      </c>
      <c r="H4" s="1302" t="s">
        <v>4</v>
      </c>
      <c r="I4" s="1292" t="s">
        <v>4474</v>
      </c>
      <c r="J4" s="703" t="s">
        <v>90</v>
      </c>
      <c r="K4" s="1263"/>
      <c r="L4" s="1263"/>
      <c r="M4" s="1264" t="s">
        <v>90</v>
      </c>
      <c r="N4" s="1294" t="s">
        <v>5</v>
      </c>
      <c r="O4" s="1268" t="s">
        <v>4475</v>
      </c>
      <c r="P4" s="1268" t="s">
        <v>512</v>
      </c>
      <c r="Q4" s="1377" t="s">
        <v>113</v>
      </c>
      <c r="R4" s="1378"/>
      <c r="S4" s="1378"/>
      <c r="T4" s="1378"/>
      <c r="U4" s="1379"/>
      <c r="V4" s="1257" t="s">
        <v>115</v>
      </c>
      <c r="W4" s="1289" t="s">
        <v>7</v>
      </c>
    </row>
    <row r="5" spans="1:25" ht="24.95" customHeight="1">
      <c r="A5" s="1352"/>
      <c r="B5" s="1353"/>
      <c r="C5" s="1267"/>
      <c r="D5" s="1265"/>
      <c r="E5" s="1023" t="s">
        <v>4557</v>
      </c>
      <c r="F5" s="1099" t="s">
        <v>4558</v>
      </c>
      <c r="G5" s="1293"/>
      <c r="H5" s="1302"/>
      <c r="I5" s="1300"/>
      <c r="J5" s="1100" t="s">
        <v>8</v>
      </c>
      <c r="K5" s="1100" t="s">
        <v>9</v>
      </c>
      <c r="L5" s="1100" t="s">
        <v>10</v>
      </c>
      <c r="M5" s="1256"/>
      <c r="N5" s="1269"/>
      <c r="O5" s="1277"/>
      <c r="P5" s="1277"/>
      <c r="Q5" s="702" t="s">
        <v>2818</v>
      </c>
      <c r="R5" s="702" t="s">
        <v>148</v>
      </c>
      <c r="S5" s="1374" t="s">
        <v>149</v>
      </c>
      <c r="T5" s="1375"/>
      <c r="U5" s="1376"/>
      <c r="V5" s="1257"/>
      <c r="W5" s="1290"/>
    </row>
    <row r="6" spans="1:25" ht="15">
      <c r="B6" s="1150"/>
      <c r="C6" s="218"/>
      <c r="D6" s="682"/>
      <c r="E6" s="329"/>
      <c r="F6" s="48"/>
      <c r="G6" s="48"/>
      <c r="H6" s="51"/>
      <c r="I6" s="49"/>
      <c r="J6" s="710"/>
      <c r="K6" s="710"/>
      <c r="L6" s="710"/>
      <c r="M6" s="218"/>
      <c r="N6" s="218"/>
      <c r="O6" s="52"/>
      <c r="P6" s="52"/>
      <c r="Q6" s="207"/>
      <c r="R6" s="207"/>
      <c r="S6" s="923"/>
      <c r="T6" s="923"/>
      <c r="U6" s="923"/>
      <c r="V6" s="52"/>
      <c r="W6" s="47"/>
    </row>
    <row r="7" spans="1:25" ht="15">
      <c r="B7" s="827" t="s">
        <v>4461</v>
      </c>
      <c r="C7" s="218"/>
      <c r="D7" s="682"/>
      <c r="E7" s="329"/>
      <c r="F7" s="48"/>
      <c r="G7" s="48"/>
      <c r="H7" s="51"/>
      <c r="I7" s="49"/>
      <c r="J7" s="49"/>
      <c r="K7" s="49"/>
      <c r="L7" s="49"/>
      <c r="M7" s="49"/>
      <c r="N7" s="49"/>
      <c r="O7" s="52"/>
      <c r="P7" s="52"/>
      <c r="Q7" s="207"/>
      <c r="R7" s="207"/>
      <c r="S7" s="923"/>
      <c r="T7" s="923"/>
      <c r="U7" s="923"/>
      <c r="V7" s="52"/>
      <c r="W7" s="47"/>
    </row>
    <row r="8" spans="1:25" ht="15">
      <c r="B8" s="828"/>
      <c r="C8" s="218"/>
      <c r="D8" s="682"/>
      <c r="E8" s="329"/>
      <c r="F8" s="48"/>
      <c r="G8" s="48"/>
      <c r="H8" s="51"/>
      <c r="I8" s="49"/>
      <c r="J8" s="710"/>
      <c r="K8" s="710"/>
      <c r="L8" s="710"/>
      <c r="M8" s="218"/>
      <c r="N8" s="218"/>
      <c r="O8" s="52"/>
      <c r="P8" s="52"/>
      <c r="Q8" s="207"/>
      <c r="R8" s="207"/>
      <c r="S8" s="923"/>
      <c r="T8" s="923"/>
      <c r="U8" s="923"/>
      <c r="V8" s="52"/>
      <c r="W8" s="47"/>
    </row>
    <row r="9" spans="1:25" s="16" customFormat="1" ht="15">
      <c r="A9" s="236"/>
      <c r="B9" s="829" t="s">
        <v>513</v>
      </c>
      <c r="C9" s="1137"/>
      <c r="D9" s="5"/>
      <c r="E9" s="1137"/>
      <c r="F9" s="12"/>
      <c r="G9" s="187"/>
      <c r="H9" s="6"/>
      <c r="I9" s="345">
        <f>SUM(I10:I52)</f>
        <v>26944615</v>
      </c>
      <c r="J9" s="346">
        <f>J10+J13+J19+J22+J27+J30+J33+J36+J42+J45+J51+J47</f>
        <v>0</v>
      </c>
      <c r="K9" s="346">
        <f>K10+K13+K19+K22+K27+K30+K33+K36+K42+K45+K51+K47</f>
        <v>15438115</v>
      </c>
      <c r="L9" s="346">
        <f>L10+L13+L19+L22+L27+L30+L33+L36+L42+L45+L51+L47</f>
        <v>11506500</v>
      </c>
      <c r="M9" s="346">
        <f>M10+M13+M19+M22+M27+M30+M33+M36+M42+M45+M51+M47</f>
        <v>26944615</v>
      </c>
      <c r="N9" s="6"/>
      <c r="O9" s="117"/>
      <c r="P9" s="117"/>
      <c r="Q9" s="346">
        <f t="shared" ref="Q9:R9" si="0">Q10+Q13+Q19+Q22+Q27+Q30+Q33+Q36+Q42+Q45+Q51+Q47</f>
        <v>26944615</v>
      </c>
      <c r="R9" s="346">
        <f t="shared" si="0"/>
        <v>22124607</v>
      </c>
      <c r="S9" s="876"/>
      <c r="T9" s="876"/>
      <c r="U9" s="876"/>
      <c r="V9" s="9"/>
      <c r="X9" s="16">
        <f>SUM(J9:L9)</f>
        <v>26944615</v>
      </c>
      <c r="Y9" s="16">
        <f t="shared" ref="Y9:Y14" si="1">X9-M9</f>
        <v>0</v>
      </c>
    </row>
    <row r="10" spans="1:25" s="16" customFormat="1" ht="15">
      <c r="A10" s="236"/>
      <c r="B10" s="6" t="s">
        <v>514</v>
      </c>
      <c r="C10" s="1137"/>
      <c r="D10" s="5"/>
      <c r="E10" s="1137"/>
      <c r="F10" s="12"/>
      <c r="G10" s="187"/>
      <c r="H10" s="6"/>
      <c r="I10" s="93">
        <v>1867512</v>
      </c>
      <c r="J10" s="7">
        <f>J11</f>
        <v>0</v>
      </c>
      <c r="K10" s="7">
        <f t="shared" ref="K10:M10" si="2">K11</f>
        <v>1867512</v>
      </c>
      <c r="L10" s="7">
        <f t="shared" si="2"/>
        <v>0</v>
      </c>
      <c r="M10" s="7">
        <f t="shared" si="2"/>
        <v>1867512</v>
      </c>
      <c r="N10" s="6"/>
      <c r="O10" s="117"/>
      <c r="P10" s="117"/>
      <c r="Q10" s="7">
        <f t="shared" ref="Q10:R10" si="3">Q11</f>
        <v>1867512</v>
      </c>
      <c r="R10" s="7">
        <f t="shared" si="3"/>
        <v>889822</v>
      </c>
      <c r="S10" s="876"/>
      <c r="T10" s="876"/>
      <c r="U10" s="876"/>
      <c r="V10" s="9"/>
      <c r="X10" s="16">
        <f t="shared" ref="X10:X73" si="4">SUM(J10:L10)</f>
        <v>1867512</v>
      </c>
      <c r="Y10" s="16">
        <f t="shared" si="1"/>
        <v>0</v>
      </c>
    </row>
    <row r="11" spans="1:25" s="16" customFormat="1" ht="38.25" customHeight="1">
      <c r="A11" s="743" t="s">
        <v>4548</v>
      </c>
      <c r="B11" s="1141" t="s">
        <v>515</v>
      </c>
      <c r="C11" s="1126" t="s">
        <v>516</v>
      </c>
      <c r="D11" s="361">
        <v>40842</v>
      </c>
      <c r="E11" s="1126" t="s">
        <v>4618</v>
      </c>
      <c r="F11" s="103" t="s">
        <v>4617</v>
      </c>
      <c r="G11" s="347"/>
      <c r="H11" s="93"/>
      <c r="J11" s="187"/>
      <c r="K11" s="187">
        <v>1867512</v>
      </c>
      <c r="L11" s="187"/>
      <c r="M11" s="14">
        <f>SUM(J11:L11)</f>
        <v>1867512</v>
      </c>
      <c r="N11" s="6"/>
      <c r="O11" s="1136"/>
      <c r="P11" s="1138" t="s">
        <v>102</v>
      </c>
      <c r="Q11" s="187">
        <v>1867512</v>
      </c>
      <c r="R11" s="93">
        <v>889822</v>
      </c>
      <c r="S11" s="1380" t="s">
        <v>6066</v>
      </c>
      <c r="T11" s="1380"/>
      <c r="U11" s="1380"/>
      <c r="V11" s="10" t="s">
        <v>517</v>
      </c>
      <c r="W11" s="12" t="s">
        <v>76</v>
      </c>
      <c r="X11" s="16">
        <f t="shared" si="4"/>
        <v>1867512</v>
      </c>
      <c r="Y11" s="16">
        <f t="shared" si="1"/>
        <v>0</v>
      </c>
    </row>
    <row r="12" spans="1:25" s="16" customFormat="1" ht="15">
      <c r="A12" s="744"/>
      <c r="B12" s="551"/>
      <c r="C12" s="348"/>
      <c r="D12" s="349"/>
      <c r="E12" s="1126"/>
      <c r="F12" s="103"/>
      <c r="G12" s="347"/>
      <c r="H12" s="93"/>
      <c r="I12" s="93"/>
      <c r="J12" s="187"/>
      <c r="K12" s="187"/>
      <c r="L12" s="187"/>
      <c r="M12" s="187"/>
      <c r="N12" s="6"/>
      <c r="O12" s="117"/>
      <c r="P12" s="1138"/>
      <c r="Q12" s="93"/>
      <c r="R12" s="93"/>
      <c r="S12" s="876"/>
      <c r="T12" s="876"/>
      <c r="U12" s="876"/>
      <c r="V12" s="10"/>
      <c r="W12" s="12"/>
      <c r="X12" s="16">
        <f t="shared" si="4"/>
        <v>0</v>
      </c>
      <c r="Y12" s="16">
        <f t="shared" si="1"/>
        <v>0</v>
      </c>
    </row>
    <row r="13" spans="1:25" s="41" customFormat="1" ht="15">
      <c r="A13" s="745"/>
      <c r="B13" s="6" t="s">
        <v>143</v>
      </c>
      <c r="C13" s="165"/>
      <c r="D13" s="350"/>
      <c r="E13" s="69"/>
      <c r="H13" s="90"/>
      <c r="I13" s="351">
        <v>11050000</v>
      </c>
      <c r="J13" s="352">
        <f>J17+J14</f>
        <v>0</v>
      </c>
      <c r="K13" s="352">
        <f>K17+K14</f>
        <v>11050000</v>
      </c>
      <c r="L13" s="352">
        <f>L17+L14</f>
        <v>0</v>
      </c>
      <c r="M13" s="352">
        <f>M17+M14</f>
        <v>11050000</v>
      </c>
      <c r="N13" s="42"/>
      <c r="O13" s="164"/>
      <c r="P13" s="165"/>
      <c r="Q13" s="352">
        <f t="shared" ref="Q13:R13" si="5">Q17+Q14</f>
        <v>11050000</v>
      </c>
      <c r="R13" s="352">
        <f t="shared" si="5"/>
        <v>7215366</v>
      </c>
      <c r="S13" s="897"/>
      <c r="T13" s="897"/>
      <c r="U13" s="897"/>
      <c r="X13" s="16">
        <f t="shared" si="4"/>
        <v>11050000</v>
      </c>
      <c r="Y13" s="16">
        <f t="shared" si="1"/>
        <v>0</v>
      </c>
    </row>
    <row r="14" spans="1:25" s="41" customFormat="1" ht="30" customHeight="1">
      <c r="A14" s="1139" t="s">
        <v>4549</v>
      </c>
      <c r="B14" s="830" t="s">
        <v>4554</v>
      </c>
      <c r="C14" s="1357" t="s">
        <v>520</v>
      </c>
      <c r="D14" s="13">
        <v>40870</v>
      </c>
      <c r="E14" s="1358" t="s">
        <v>4620</v>
      </c>
      <c r="F14" s="1354" t="s">
        <v>4619</v>
      </c>
      <c r="G14" s="14"/>
      <c r="H14" s="67"/>
      <c r="I14" s="67"/>
      <c r="J14" s="14"/>
      <c r="K14" s="14">
        <v>10950000</v>
      </c>
      <c r="L14" s="14"/>
      <c r="M14" s="1355">
        <f>SUM(J14:L14)</f>
        <v>10950000</v>
      </c>
      <c r="N14" s="10"/>
      <c r="O14" s="1136" t="s">
        <v>135</v>
      </c>
      <c r="P14" s="1138" t="s">
        <v>102</v>
      </c>
      <c r="Q14" s="1341">
        <v>10950000</v>
      </c>
      <c r="R14" s="1341">
        <v>7115366</v>
      </c>
      <c r="S14" s="1274" t="s">
        <v>6069</v>
      </c>
      <c r="T14" s="1274"/>
      <c r="U14" s="1274"/>
      <c r="V14" s="10" t="s">
        <v>517</v>
      </c>
      <c r="W14" s="12" t="s">
        <v>519</v>
      </c>
      <c r="X14" s="16">
        <f>SUM(J14:L14)</f>
        <v>10950000</v>
      </c>
      <c r="Y14" s="16">
        <f t="shared" si="1"/>
        <v>0</v>
      </c>
    </row>
    <row r="15" spans="1:25" s="41" customFormat="1" ht="31.5" customHeight="1">
      <c r="A15" s="1139" t="s">
        <v>4550</v>
      </c>
      <c r="B15" s="830" t="s">
        <v>4552</v>
      </c>
      <c r="C15" s="1357"/>
      <c r="D15" s="13"/>
      <c r="E15" s="1358"/>
      <c r="F15" s="1354"/>
      <c r="G15" s="14"/>
      <c r="H15" s="67"/>
      <c r="I15" s="67"/>
      <c r="J15" s="14"/>
      <c r="K15" s="14"/>
      <c r="L15" s="14"/>
      <c r="M15" s="1356"/>
      <c r="N15" s="10"/>
      <c r="O15" s="1136"/>
      <c r="P15" s="1138"/>
      <c r="Q15" s="1341"/>
      <c r="R15" s="1341"/>
      <c r="S15" s="1274"/>
      <c r="T15" s="1274"/>
      <c r="U15" s="1274"/>
      <c r="V15" s="10"/>
      <c r="W15" s="12"/>
      <c r="X15" s="16"/>
      <c r="Y15" s="16"/>
    </row>
    <row r="16" spans="1:25" s="41" customFormat="1" ht="51.75" customHeight="1">
      <c r="A16" s="1139" t="s">
        <v>4551</v>
      </c>
      <c r="B16" s="1141" t="s">
        <v>4553</v>
      </c>
      <c r="C16" s="1357"/>
      <c r="D16" s="13"/>
      <c r="E16" s="1358"/>
      <c r="F16" s="1354"/>
      <c r="G16" s="14"/>
      <c r="H16" s="67"/>
      <c r="I16" s="67"/>
      <c r="J16" s="14"/>
      <c r="K16" s="14"/>
      <c r="L16" s="14"/>
      <c r="M16" s="1356"/>
      <c r="N16" s="10"/>
      <c r="O16" s="1136"/>
      <c r="P16" s="1138"/>
      <c r="Q16" s="1341"/>
      <c r="R16" s="1341"/>
      <c r="S16" s="1274"/>
      <c r="T16" s="1274"/>
      <c r="U16" s="1274"/>
      <c r="V16" s="10"/>
      <c r="W16" s="12"/>
      <c r="X16" s="16"/>
      <c r="Y16" s="16"/>
    </row>
    <row r="17" spans="1:25" s="41" customFormat="1" ht="48.75" customHeight="1">
      <c r="A17" s="1139" t="s">
        <v>4555</v>
      </c>
      <c r="B17" s="830" t="s">
        <v>4560</v>
      </c>
      <c r="C17" s="1138" t="s">
        <v>518</v>
      </c>
      <c r="D17" s="13">
        <v>40857</v>
      </c>
      <c r="E17" s="1137" t="s">
        <v>4621</v>
      </c>
      <c r="F17" s="12" t="s">
        <v>4619</v>
      </c>
      <c r="G17" s="14"/>
      <c r="H17" s="67"/>
      <c r="I17" s="67"/>
      <c r="J17" s="14"/>
      <c r="K17" s="14">
        <v>100000</v>
      </c>
      <c r="L17" s="14"/>
      <c r="M17" s="14">
        <f>SUM(J17:L17)</f>
        <v>100000</v>
      </c>
      <c r="N17" s="10"/>
      <c r="O17" s="1136" t="s">
        <v>135</v>
      </c>
      <c r="P17" s="1138" t="s">
        <v>102</v>
      </c>
      <c r="Q17" s="93">
        <v>100000</v>
      </c>
      <c r="R17" s="93">
        <v>100000</v>
      </c>
      <c r="S17" s="1332" t="s">
        <v>6067</v>
      </c>
      <c r="T17" s="1332"/>
      <c r="U17" s="1332"/>
      <c r="V17" s="31" t="s">
        <v>517</v>
      </c>
      <c r="W17" s="12" t="s">
        <v>519</v>
      </c>
      <c r="X17" s="16">
        <f t="shared" si="4"/>
        <v>100000</v>
      </c>
      <c r="Y17" s="16">
        <f t="shared" ref="Y17:Y30" si="6">X17-M17</f>
        <v>0</v>
      </c>
    </row>
    <row r="18" spans="1:25" s="41" customFormat="1" ht="15">
      <c r="A18" s="745"/>
      <c r="B18" s="831"/>
      <c r="C18" s="1137"/>
      <c r="D18" s="13"/>
      <c r="E18" s="1138"/>
      <c r="F18" s="12"/>
      <c r="G18" s="14"/>
      <c r="H18" s="67"/>
      <c r="I18" s="67"/>
      <c r="J18" s="14"/>
      <c r="K18" s="14"/>
      <c r="L18" s="14"/>
      <c r="M18" s="14"/>
      <c r="N18" s="10"/>
      <c r="O18" s="1136"/>
      <c r="P18" s="1138"/>
      <c r="Q18" s="93"/>
      <c r="R18" s="93"/>
      <c r="S18" s="876"/>
      <c r="T18" s="876"/>
      <c r="U18" s="876"/>
      <c r="V18" s="10"/>
      <c r="W18" s="12"/>
      <c r="X18" s="16">
        <f t="shared" si="4"/>
        <v>0</v>
      </c>
      <c r="Y18" s="16">
        <f t="shared" si="6"/>
        <v>0</v>
      </c>
    </row>
    <row r="19" spans="1:25" s="30" customFormat="1" ht="15">
      <c r="A19" s="746"/>
      <c r="B19" s="6" t="s">
        <v>442</v>
      </c>
      <c r="C19" s="77"/>
      <c r="D19" s="78"/>
      <c r="E19" s="77"/>
      <c r="F19" s="98"/>
      <c r="G19" s="97"/>
      <c r="H19" s="105"/>
      <c r="I19" s="356">
        <v>357000</v>
      </c>
      <c r="J19" s="121">
        <f>J20</f>
        <v>0</v>
      </c>
      <c r="K19" s="121">
        <f t="shared" ref="K19:M19" si="7">K20</f>
        <v>357000</v>
      </c>
      <c r="L19" s="121">
        <f t="shared" si="7"/>
        <v>0</v>
      </c>
      <c r="M19" s="121">
        <f t="shared" si="7"/>
        <v>357000</v>
      </c>
      <c r="N19" s="74"/>
      <c r="O19" s="154"/>
      <c r="P19" s="32"/>
      <c r="Q19" s="121">
        <f t="shared" ref="Q19:R19" si="8">Q20</f>
        <v>357000</v>
      </c>
      <c r="R19" s="121">
        <f t="shared" si="8"/>
        <v>351340</v>
      </c>
      <c r="S19" s="515"/>
      <c r="T19" s="515"/>
      <c r="U19" s="515"/>
      <c r="V19" s="10"/>
      <c r="W19" s="31"/>
      <c r="X19" s="16">
        <f t="shared" si="4"/>
        <v>357000</v>
      </c>
      <c r="Y19" s="16">
        <f t="shared" si="6"/>
        <v>0</v>
      </c>
    </row>
    <row r="20" spans="1:25" s="30" customFormat="1" ht="30">
      <c r="A20" s="1139" t="s">
        <v>4559</v>
      </c>
      <c r="B20" s="830" t="s">
        <v>521</v>
      </c>
      <c r="C20" s="1137" t="s">
        <v>522</v>
      </c>
      <c r="D20" s="13">
        <v>40835</v>
      </c>
      <c r="E20" s="1137" t="s">
        <v>622</v>
      </c>
      <c r="F20" s="12" t="s">
        <v>543</v>
      </c>
      <c r="G20" s="14"/>
      <c r="H20" s="93">
        <v>16650</v>
      </c>
      <c r="J20" s="65"/>
      <c r="K20" s="65">
        <v>357000</v>
      </c>
      <c r="L20" s="65"/>
      <c r="M20" s="65">
        <f>SUM(J20:L20)</f>
        <v>357000</v>
      </c>
      <c r="N20" s="243">
        <f>M20+H20</f>
        <v>373650</v>
      </c>
      <c r="O20" s="1136"/>
      <c r="P20" s="1138" t="s">
        <v>4471</v>
      </c>
      <c r="Q20" s="93">
        <v>357000</v>
      </c>
      <c r="R20" s="93">
        <v>351340</v>
      </c>
      <c r="S20" s="1332" t="s">
        <v>6068</v>
      </c>
      <c r="T20" s="1332"/>
      <c r="U20" s="1332"/>
      <c r="V20" s="358" t="s">
        <v>517</v>
      </c>
      <c r="W20" s="12" t="s">
        <v>523</v>
      </c>
      <c r="X20" s="16">
        <f t="shared" si="4"/>
        <v>357000</v>
      </c>
      <c r="Y20" s="16">
        <f t="shared" si="6"/>
        <v>0</v>
      </c>
    </row>
    <row r="21" spans="1:25" s="41" customFormat="1" ht="15">
      <c r="A21" s="39"/>
      <c r="B21" s="831"/>
      <c r="C21" s="1137"/>
      <c r="D21" s="13"/>
      <c r="E21" s="1138"/>
      <c r="F21" s="12"/>
      <c r="G21" s="14"/>
      <c r="H21" s="67"/>
      <c r="I21" s="67"/>
      <c r="J21" s="14"/>
      <c r="K21" s="14"/>
      <c r="L21" s="14"/>
      <c r="M21" s="14"/>
      <c r="N21" s="10"/>
      <c r="O21" s="1136"/>
      <c r="P21" s="1138"/>
      <c r="Q21" s="93"/>
      <c r="R21" s="93"/>
      <c r="S21" s="876"/>
      <c r="T21" s="876"/>
      <c r="U21" s="876"/>
      <c r="V21" s="10"/>
      <c r="W21" s="12"/>
      <c r="X21" s="16">
        <f t="shared" si="4"/>
        <v>0</v>
      </c>
      <c r="Y21" s="16">
        <f t="shared" si="6"/>
        <v>0</v>
      </c>
    </row>
    <row r="22" spans="1:25" s="16" customFormat="1" ht="15">
      <c r="A22" s="236"/>
      <c r="B22" s="6" t="s">
        <v>524</v>
      </c>
      <c r="C22" s="1126"/>
      <c r="D22" s="190"/>
      <c r="E22" s="1126"/>
      <c r="F22" s="212"/>
      <c r="G22" s="347"/>
      <c r="H22" s="93"/>
      <c r="I22" s="6">
        <v>75000</v>
      </c>
      <c r="J22" s="7">
        <f>SUM(J24:J25)</f>
        <v>0</v>
      </c>
      <c r="K22" s="7">
        <f>SUM(K24:K25)</f>
        <v>17500</v>
      </c>
      <c r="L22" s="7">
        <f>SUM(L24:L25)</f>
        <v>57500</v>
      </c>
      <c r="M22" s="7">
        <f>SUM(M24:M25)</f>
        <v>75000</v>
      </c>
      <c r="N22" s="10"/>
      <c r="O22" s="179"/>
      <c r="P22" s="179"/>
      <c r="Q22" s="7">
        <f t="shared" ref="Q22:R22" si="9">SUM(Q24:Q25)</f>
        <v>75000</v>
      </c>
      <c r="R22" s="7">
        <f t="shared" si="9"/>
        <v>75000</v>
      </c>
      <c r="S22" s="924"/>
      <c r="T22" s="924"/>
      <c r="U22" s="924"/>
      <c r="X22" s="16">
        <f t="shared" si="4"/>
        <v>75000</v>
      </c>
      <c r="Y22" s="16">
        <f t="shared" si="6"/>
        <v>0</v>
      </c>
    </row>
    <row r="23" spans="1:25" s="16" customFormat="1" ht="15">
      <c r="A23" s="1139" t="s">
        <v>4561</v>
      </c>
      <c r="B23" s="830" t="s">
        <v>4562</v>
      </c>
      <c r="C23" s="1126"/>
      <c r="D23" s="361"/>
      <c r="E23" s="1126"/>
      <c r="F23" s="212"/>
      <c r="G23" s="360"/>
      <c r="H23" s="67"/>
      <c r="I23" s="14"/>
      <c r="K23" s="14"/>
      <c r="L23" s="14"/>
      <c r="M23" s="14"/>
      <c r="N23" s="10"/>
      <c r="O23" s="179"/>
      <c r="P23" s="179"/>
      <c r="Q23" s="359"/>
      <c r="R23" s="359"/>
      <c r="S23" s="924"/>
      <c r="T23" s="924"/>
      <c r="U23" s="924"/>
      <c r="X23" s="16">
        <f t="shared" si="4"/>
        <v>0</v>
      </c>
      <c r="Y23" s="16">
        <f t="shared" si="6"/>
        <v>0</v>
      </c>
    </row>
    <row r="24" spans="1:25" s="231" customFormat="1" ht="30.75" customHeight="1">
      <c r="A24" s="237"/>
      <c r="B24" s="832" t="s">
        <v>525</v>
      </c>
      <c r="C24" s="1126" t="s">
        <v>526</v>
      </c>
      <c r="D24" s="361">
        <v>40842</v>
      </c>
      <c r="E24" s="1339" t="s">
        <v>4618</v>
      </c>
      <c r="F24" s="1383" t="s">
        <v>4617</v>
      </c>
      <c r="G24" s="360"/>
      <c r="H24" s="67"/>
      <c r="I24" s="14"/>
      <c r="K24" s="14">
        <v>17500</v>
      </c>
      <c r="L24" s="14"/>
      <c r="M24" s="14">
        <f>SUM(I24:L24)</f>
        <v>17500</v>
      </c>
      <c r="N24" s="358"/>
      <c r="O24" s="235"/>
      <c r="P24" s="1138" t="s">
        <v>102</v>
      </c>
      <c r="Q24" s="187">
        <v>17500</v>
      </c>
      <c r="R24" s="187">
        <v>17500</v>
      </c>
      <c r="S24" s="1381" t="s">
        <v>6070</v>
      </c>
      <c r="T24" s="1381"/>
      <c r="U24" s="1381"/>
      <c r="W24" s="31" t="s">
        <v>76</v>
      </c>
      <c r="X24" s="16">
        <f t="shared" si="4"/>
        <v>17500</v>
      </c>
      <c r="Y24" s="16">
        <f t="shared" si="6"/>
        <v>0</v>
      </c>
    </row>
    <row r="25" spans="1:25" s="231" customFormat="1" ht="15">
      <c r="A25" s="237"/>
      <c r="B25" s="832" t="s">
        <v>525</v>
      </c>
      <c r="C25" s="1126" t="s">
        <v>527</v>
      </c>
      <c r="D25" s="361">
        <v>40842</v>
      </c>
      <c r="E25" s="1339"/>
      <c r="F25" s="1383"/>
      <c r="G25" s="360"/>
      <c r="H25" s="67"/>
      <c r="I25" s="14"/>
      <c r="K25" s="14"/>
      <c r="L25" s="14">
        <v>57500</v>
      </c>
      <c r="M25" s="14">
        <f>SUM(I25:L25)</f>
        <v>57500</v>
      </c>
      <c r="N25" s="358"/>
      <c r="O25" s="235"/>
      <c r="P25" s="1138" t="s">
        <v>102</v>
      </c>
      <c r="Q25" s="187">
        <v>57500</v>
      </c>
      <c r="R25" s="187">
        <v>57500</v>
      </c>
      <c r="S25" s="347" t="s">
        <v>6071</v>
      </c>
      <c r="T25" s="925"/>
      <c r="U25" s="925"/>
      <c r="W25" s="31" t="s">
        <v>76</v>
      </c>
      <c r="X25" s="16">
        <f t="shared" si="4"/>
        <v>57500</v>
      </c>
      <c r="Y25" s="16">
        <f t="shared" si="6"/>
        <v>0</v>
      </c>
    </row>
    <row r="26" spans="1:25" s="231" customFormat="1" ht="15">
      <c r="A26" s="237"/>
      <c r="B26" s="833"/>
      <c r="C26" s="1126"/>
      <c r="D26" s="361"/>
      <c r="E26" s="1126"/>
      <c r="F26" s="212"/>
      <c r="G26" s="360"/>
      <c r="H26" s="67"/>
      <c r="I26" s="14"/>
      <c r="J26" s="14"/>
      <c r="K26" s="14"/>
      <c r="L26" s="14"/>
      <c r="M26" s="10"/>
      <c r="N26" s="358"/>
      <c r="O26" s="235"/>
      <c r="P26" s="235"/>
      <c r="Q26" s="359"/>
      <c r="R26" s="359"/>
      <c r="S26" s="925"/>
      <c r="T26" s="925"/>
      <c r="U26" s="925"/>
      <c r="X26" s="16">
        <f t="shared" si="4"/>
        <v>0</v>
      </c>
      <c r="Y26" s="16">
        <f t="shared" si="6"/>
        <v>0</v>
      </c>
    </row>
    <row r="27" spans="1:25" s="30" customFormat="1" ht="17.25" customHeight="1">
      <c r="A27" s="112"/>
      <c r="B27" s="6" t="s">
        <v>4565</v>
      </c>
      <c r="C27" s="179"/>
      <c r="D27" s="365"/>
      <c r="E27" s="77"/>
      <c r="F27" s="364"/>
      <c r="G27" s="236"/>
      <c r="H27" s="109"/>
      <c r="I27" s="93">
        <v>100000</v>
      </c>
      <c r="J27" s="7">
        <f>J28</f>
        <v>0</v>
      </c>
      <c r="K27" s="7">
        <f t="shared" ref="K27:M27" si="10">K28</f>
        <v>100000</v>
      </c>
      <c r="L27" s="7">
        <f t="shared" si="10"/>
        <v>0</v>
      </c>
      <c r="M27" s="7">
        <f t="shared" si="10"/>
        <v>100000</v>
      </c>
      <c r="N27" s="366"/>
      <c r="O27" s="810"/>
      <c r="P27" s="32"/>
      <c r="Q27" s="7">
        <f t="shared" ref="Q27:R27" si="11">Q28</f>
        <v>100000</v>
      </c>
      <c r="R27" s="7">
        <f t="shared" si="11"/>
        <v>100000</v>
      </c>
      <c r="S27" s="926"/>
      <c r="T27" s="926"/>
      <c r="U27" s="926"/>
      <c r="V27" s="112"/>
      <c r="W27" s="31"/>
      <c r="X27" s="16">
        <f t="shared" si="4"/>
        <v>100000</v>
      </c>
      <c r="Y27" s="16">
        <f t="shared" si="6"/>
        <v>0</v>
      </c>
    </row>
    <row r="28" spans="1:25" s="30" customFormat="1" ht="66.75" customHeight="1">
      <c r="A28" s="1139" t="s">
        <v>4563</v>
      </c>
      <c r="B28" s="1141" t="s">
        <v>4564</v>
      </c>
      <c r="C28" s="1137" t="s">
        <v>528</v>
      </c>
      <c r="D28" s="13">
        <v>40835</v>
      </c>
      <c r="E28" s="1138" t="s">
        <v>622</v>
      </c>
      <c r="F28" s="12" t="s">
        <v>543</v>
      </c>
      <c r="G28" s="14"/>
      <c r="H28" s="93">
        <v>7147</v>
      </c>
      <c r="I28" s="31"/>
      <c r="J28" s="14"/>
      <c r="K28" s="14">
        <v>100000</v>
      </c>
      <c r="L28" s="14"/>
      <c r="M28" s="14">
        <f>SUM(J28:L28)</f>
        <v>100000</v>
      </c>
      <c r="N28" s="6">
        <f>M28+H28</f>
        <v>107147</v>
      </c>
      <c r="O28" s="117"/>
      <c r="P28" s="32" t="s">
        <v>104</v>
      </c>
      <c r="Q28" s="93">
        <v>100000</v>
      </c>
      <c r="R28" s="93">
        <v>100000</v>
      </c>
      <c r="S28" s="1332" t="s">
        <v>6072</v>
      </c>
      <c r="T28" s="1332"/>
      <c r="U28" s="1332"/>
      <c r="V28" s="31" t="s">
        <v>517</v>
      </c>
      <c r="W28" s="31" t="s">
        <v>529</v>
      </c>
      <c r="X28" s="16">
        <f t="shared" si="4"/>
        <v>100000</v>
      </c>
      <c r="Y28" s="16">
        <f t="shared" si="6"/>
        <v>0</v>
      </c>
    </row>
    <row r="29" spans="1:25" s="30" customFormat="1" ht="15">
      <c r="A29" s="112"/>
      <c r="B29" s="831"/>
      <c r="C29" s="1137"/>
      <c r="D29" s="13"/>
      <c r="E29" s="1138"/>
      <c r="F29" s="12"/>
      <c r="G29" s="14"/>
      <c r="H29" s="93"/>
      <c r="I29" s="93"/>
      <c r="J29" s="14"/>
      <c r="K29" s="14"/>
      <c r="L29" s="14"/>
      <c r="M29" s="14"/>
      <c r="N29" s="6"/>
      <c r="O29" s="117"/>
      <c r="P29" s="32"/>
      <c r="Q29" s="93"/>
      <c r="R29" s="93"/>
      <c r="S29" s="876"/>
      <c r="T29" s="876"/>
      <c r="U29" s="876"/>
      <c r="V29" s="31"/>
      <c r="W29" s="31"/>
      <c r="X29" s="16">
        <f t="shared" si="4"/>
        <v>0</v>
      </c>
      <c r="Y29" s="16">
        <f t="shared" si="6"/>
        <v>0</v>
      </c>
    </row>
    <row r="30" spans="1:25" s="30" customFormat="1" ht="15" customHeight="1">
      <c r="A30" s="1139" t="s">
        <v>4566</v>
      </c>
      <c r="B30" s="6" t="s">
        <v>4569</v>
      </c>
      <c r="E30" s="1137"/>
      <c r="G30" s="14"/>
      <c r="H30" s="356">
        <v>600000</v>
      </c>
      <c r="I30" s="356">
        <v>400000</v>
      </c>
      <c r="J30" s="7">
        <f>J31</f>
        <v>0</v>
      </c>
      <c r="K30" s="7">
        <f t="shared" ref="K30:M30" si="12">K31</f>
        <v>0</v>
      </c>
      <c r="L30" s="7">
        <f t="shared" si="12"/>
        <v>400000</v>
      </c>
      <c r="M30" s="7">
        <f t="shared" si="12"/>
        <v>400000</v>
      </c>
      <c r="N30" s="367">
        <f>M30+H30</f>
        <v>1000000</v>
      </c>
      <c r="O30" s="811"/>
      <c r="P30" s="32" t="s">
        <v>104</v>
      </c>
      <c r="Q30" s="7">
        <f t="shared" ref="Q30:R30" si="13">Q31</f>
        <v>400000</v>
      </c>
      <c r="R30" s="7">
        <f t="shared" si="13"/>
        <v>400000</v>
      </c>
      <c r="S30" s="903"/>
      <c r="T30" s="903"/>
      <c r="U30" s="903"/>
      <c r="V30" s="10" t="s">
        <v>517</v>
      </c>
      <c r="X30" s="16">
        <f t="shared" si="4"/>
        <v>400000</v>
      </c>
      <c r="Y30" s="16">
        <f t="shared" si="6"/>
        <v>0</v>
      </c>
    </row>
    <row r="31" spans="1:25" s="30" customFormat="1" ht="45">
      <c r="A31" s="1139"/>
      <c r="B31" s="1141" t="s">
        <v>4568</v>
      </c>
      <c r="C31" s="1137" t="s">
        <v>530</v>
      </c>
      <c r="D31" s="13">
        <v>40835</v>
      </c>
      <c r="E31" s="1137" t="s">
        <v>4624</v>
      </c>
      <c r="F31" s="12" t="s">
        <v>4623</v>
      </c>
      <c r="G31" s="14"/>
      <c r="H31" s="356"/>
      <c r="I31" s="356"/>
      <c r="J31" s="14"/>
      <c r="K31" s="187"/>
      <c r="L31" s="14">
        <v>400000</v>
      </c>
      <c r="M31" s="14">
        <v>400000</v>
      </c>
      <c r="N31" s="367"/>
      <c r="O31" s="811"/>
      <c r="P31" s="32"/>
      <c r="Q31" s="187">
        <v>400000</v>
      </c>
      <c r="R31" s="187">
        <v>400000</v>
      </c>
      <c r="S31" s="1382" t="s">
        <v>6073</v>
      </c>
      <c r="T31" s="1382"/>
      <c r="U31" s="1382"/>
      <c r="V31" s="10"/>
      <c r="W31" s="31" t="s">
        <v>531</v>
      </c>
      <c r="X31" s="16"/>
      <c r="Y31" s="16"/>
    </row>
    <row r="32" spans="1:25" s="30" customFormat="1" ht="15">
      <c r="A32" s="1139"/>
      <c r="B32" s="834"/>
      <c r="C32" s="1137"/>
      <c r="D32" s="13"/>
      <c r="E32" s="1137"/>
      <c r="F32" s="12"/>
      <c r="G32" s="14"/>
      <c r="H32" s="356"/>
      <c r="I32" s="356"/>
      <c r="J32" s="14"/>
      <c r="K32" s="187"/>
      <c r="L32" s="187"/>
      <c r="M32" s="187"/>
      <c r="N32" s="367"/>
      <c r="O32" s="811"/>
      <c r="P32" s="32"/>
      <c r="Q32" s="187"/>
      <c r="R32" s="187"/>
      <c r="S32" s="903"/>
      <c r="T32" s="903"/>
      <c r="U32" s="903"/>
      <c r="V32" s="10"/>
      <c r="W32" s="31"/>
      <c r="X32" s="16"/>
      <c r="Y32" s="16"/>
    </row>
    <row r="33" spans="1:25" s="30" customFormat="1" ht="15">
      <c r="A33" s="112"/>
      <c r="B33" s="6" t="s">
        <v>448</v>
      </c>
      <c r="C33" s="1137"/>
      <c r="D33" s="13"/>
      <c r="E33" s="1137"/>
      <c r="F33" s="12"/>
      <c r="G33" s="14"/>
      <c r="H33" s="356"/>
      <c r="I33" s="93">
        <v>1496103</v>
      </c>
      <c r="J33" s="7">
        <f>J34</f>
        <v>0</v>
      </c>
      <c r="K33" s="7">
        <f t="shared" ref="K33:M33" si="14">K34</f>
        <v>1496103</v>
      </c>
      <c r="L33" s="7">
        <f t="shared" si="14"/>
        <v>0</v>
      </c>
      <c r="M33" s="7">
        <f t="shared" si="14"/>
        <v>1496103</v>
      </c>
      <c r="N33" s="367"/>
      <c r="O33" s="811"/>
      <c r="P33" s="32"/>
      <c r="Q33" s="7">
        <f t="shared" ref="Q33:R33" si="15">Q34</f>
        <v>1496103</v>
      </c>
      <c r="R33" s="7">
        <f t="shared" si="15"/>
        <v>1496103</v>
      </c>
      <c r="S33" s="903"/>
      <c r="T33" s="903"/>
      <c r="U33" s="903"/>
      <c r="V33" s="10"/>
      <c r="W33" s="31"/>
      <c r="X33" s="16">
        <f t="shared" si="4"/>
        <v>1496103</v>
      </c>
      <c r="Y33" s="16">
        <f t="shared" ref="Y33:Y38" si="16">X33-M33</f>
        <v>0</v>
      </c>
    </row>
    <row r="34" spans="1:25" s="30" customFormat="1" ht="63" customHeight="1">
      <c r="A34" s="1139" t="s">
        <v>4567</v>
      </c>
      <c r="B34" s="1141" t="s">
        <v>4573</v>
      </c>
      <c r="C34" s="1137" t="s">
        <v>532</v>
      </c>
      <c r="D34" s="13">
        <v>40836</v>
      </c>
      <c r="E34" s="1147" t="s">
        <v>4625</v>
      </c>
      <c r="F34" s="1148" t="s">
        <v>6572</v>
      </c>
      <c r="G34" s="12"/>
      <c r="H34" s="67"/>
      <c r="J34" s="14"/>
      <c r="K34" s="14">
        <v>1496103</v>
      </c>
      <c r="L34" s="14"/>
      <c r="M34" s="14">
        <f>SUM(J34:L34)</f>
        <v>1496103</v>
      </c>
      <c r="N34" s="10"/>
      <c r="O34" s="1136"/>
      <c r="P34" s="32" t="s">
        <v>102</v>
      </c>
      <c r="Q34" s="93">
        <v>1496103</v>
      </c>
      <c r="R34" s="93">
        <v>1496103</v>
      </c>
      <c r="S34" s="1332" t="s">
        <v>6074</v>
      </c>
      <c r="T34" s="1332"/>
      <c r="U34" s="1332"/>
      <c r="V34" s="10" t="s">
        <v>517</v>
      </c>
      <c r="W34" s="31" t="s">
        <v>76</v>
      </c>
      <c r="X34" s="16">
        <f t="shared" si="4"/>
        <v>1496103</v>
      </c>
      <c r="Y34" s="16">
        <f t="shared" si="16"/>
        <v>0</v>
      </c>
    </row>
    <row r="35" spans="1:25" s="30" customFormat="1" ht="15">
      <c r="A35" s="112"/>
      <c r="B35" s="829"/>
      <c r="C35" s="1137"/>
      <c r="D35" s="13"/>
      <c r="E35" s="1137"/>
      <c r="F35" s="12"/>
      <c r="G35" s="14"/>
      <c r="H35" s="356"/>
      <c r="I35" s="356"/>
      <c r="J35" s="14"/>
      <c r="K35" s="187"/>
      <c r="L35" s="187"/>
      <c r="M35" s="187"/>
      <c r="N35" s="367"/>
      <c r="O35" s="811"/>
      <c r="P35" s="32"/>
      <c r="Q35" s="216"/>
      <c r="R35" s="216"/>
      <c r="S35" s="903"/>
      <c r="T35" s="903"/>
      <c r="U35" s="903"/>
      <c r="V35" s="10"/>
      <c r="W35" s="31"/>
      <c r="X35" s="16">
        <f t="shared" si="4"/>
        <v>0</v>
      </c>
      <c r="Y35" s="16">
        <f t="shared" si="16"/>
        <v>0</v>
      </c>
    </row>
    <row r="36" spans="1:25" s="30" customFormat="1" ht="15">
      <c r="A36" s="112"/>
      <c r="B36" s="6" t="s">
        <v>533</v>
      </c>
      <c r="C36" s="1137"/>
      <c r="D36" s="13"/>
      <c r="E36" s="77"/>
      <c r="F36" s="12"/>
      <c r="G36" s="14"/>
      <c r="H36" s="93"/>
      <c r="I36" s="93">
        <v>644000</v>
      </c>
      <c r="J36" s="7">
        <f>SUM(J37:J39)</f>
        <v>0</v>
      </c>
      <c r="K36" s="7">
        <f>SUM(K37:K39)</f>
        <v>165000</v>
      </c>
      <c r="L36" s="7">
        <f>SUM(L37:L39)</f>
        <v>479000</v>
      </c>
      <c r="M36" s="7">
        <f>SUM(M37:M39)</f>
        <v>644000</v>
      </c>
      <c r="N36" s="6"/>
      <c r="O36" s="117"/>
      <c r="P36" s="32"/>
      <c r="Q36" s="7">
        <f t="shared" ref="Q36:R36" si="17">SUM(Q37:Q39)</f>
        <v>644000</v>
      </c>
      <c r="R36" s="7">
        <f t="shared" si="17"/>
        <v>644000</v>
      </c>
      <c r="S36" s="876"/>
      <c r="T36" s="876"/>
      <c r="U36" s="876"/>
      <c r="V36" s="31"/>
      <c r="W36" s="31"/>
      <c r="X36" s="16">
        <f t="shared" si="4"/>
        <v>644000</v>
      </c>
      <c r="Y36" s="16">
        <f t="shared" si="16"/>
        <v>0</v>
      </c>
    </row>
    <row r="37" spans="1:25" s="30" customFormat="1" ht="30">
      <c r="A37" s="1139" t="s">
        <v>4570</v>
      </c>
      <c r="B37" s="1342" t="s">
        <v>4622</v>
      </c>
      <c r="C37" s="1137" t="s">
        <v>534</v>
      </c>
      <c r="D37" s="13">
        <v>40855</v>
      </c>
      <c r="E37" s="1137" t="s">
        <v>4618</v>
      </c>
      <c r="F37" s="212" t="s">
        <v>4617</v>
      </c>
      <c r="G37" s="14"/>
      <c r="H37" s="67"/>
      <c r="I37" s="67"/>
      <c r="J37" s="14"/>
      <c r="K37" s="14"/>
      <c r="L37" s="14">
        <v>479000</v>
      </c>
      <c r="M37" s="14">
        <f>SUM(J37:L37)</f>
        <v>479000</v>
      </c>
      <c r="N37" s="10"/>
      <c r="O37" s="1136"/>
      <c r="P37" s="32" t="s">
        <v>104</v>
      </c>
      <c r="Q37" s="93">
        <v>479000</v>
      </c>
      <c r="R37" s="93">
        <v>479000</v>
      </c>
      <c r="S37" s="1332" t="s">
        <v>6075</v>
      </c>
      <c r="T37" s="1332"/>
      <c r="U37" s="1332"/>
      <c r="V37" s="31" t="s">
        <v>517</v>
      </c>
      <c r="W37" s="31" t="s">
        <v>147</v>
      </c>
      <c r="X37" s="16">
        <f t="shared" si="4"/>
        <v>479000</v>
      </c>
      <c r="Y37" s="16">
        <f t="shared" si="16"/>
        <v>0</v>
      </c>
    </row>
    <row r="38" spans="1:25" s="30" customFormat="1" ht="30">
      <c r="A38" s="112"/>
      <c r="B38" s="1342"/>
      <c r="C38" s="1137" t="s">
        <v>535</v>
      </c>
      <c r="D38" s="13">
        <v>40855</v>
      </c>
      <c r="E38" s="1137" t="s">
        <v>4618</v>
      </c>
      <c r="F38" s="212" t="s">
        <v>4617</v>
      </c>
      <c r="G38" s="14"/>
      <c r="H38" s="67"/>
      <c r="I38" s="67"/>
      <c r="J38" s="14"/>
      <c r="K38" s="14">
        <v>65000</v>
      </c>
      <c r="L38" s="14"/>
      <c r="M38" s="14">
        <f>SUM(J38:L38)</f>
        <v>65000</v>
      </c>
      <c r="N38" s="10"/>
      <c r="O38" s="1136"/>
      <c r="P38" s="32" t="s">
        <v>104</v>
      </c>
      <c r="Q38" s="93">
        <v>65000</v>
      </c>
      <c r="R38" s="93">
        <v>65000</v>
      </c>
      <c r="S38" s="1325" t="s">
        <v>6076</v>
      </c>
      <c r="T38" s="1325"/>
      <c r="U38" s="1325"/>
      <c r="V38" s="31" t="s">
        <v>517</v>
      </c>
      <c r="W38" s="31" t="s">
        <v>147</v>
      </c>
      <c r="X38" s="16">
        <f t="shared" si="4"/>
        <v>65000</v>
      </c>
      <c r="Y38" s="16">
        <f t="shared" si="16"/>
        <v>0</v>
      </c>
    </row>
    <row r="39" spans="1:25" s="30" customFormat="1" ht="30">
      <c r="A39" s="112"/>
      <c r="B39" s="1342"/>
      <c r="C39" s="1137" t="s">
        <v>535</v>
      </c>
      <c r="D39" s="13">
        <v>40855</v>
      </c>
      <c r="E39" s="1137" t="s">
        <v>4618</v>
      </c>
      <c r="F39" s="212" t="s">
        <v>4617</v>
      </c>
      <c r="G39" s="14"/>
      <c r="H39" s="67"/>
      <c r="I39" s="67"/>
      <c r="J39" s="14"/>
      <c r="K39" s="14">
        <v>100000</v>
      </c>
      <c r="L39" s="14"/>
      <c r="M39" s="14">
        <f>SUM(J39:L39)</f>
        <v>100000</v>
      </c>
      <c r="N39" s="10"/>
      <c r="O39" s="1136"/>
      <c r="P39" s="32" t="s">
        <v>104</v>
      </c>
      <c r="Q39" s="93">
        <v>100000</v>
      </c>
      <c r="R39" s="93">
        <v>100000</v>
      </c>
      <c r="S39" s="1325"/>
      <c r="T39" s="1325"/>
      <c r="U39" s="1325"/>
      <c r="V39" s="31" t="s">
        <v>517</v>
      </c>
      <c r="W39" s="31" t="s">
        <v>147</v>
      </c>
      <c r="X39" s="16"/>
      <c r="Y39" s="16"/>
    </row>
    <row r="40" spans="1:25" s="30" customFormat="1" ht="15">
      <c r="A40" s="112"/>
      <c r="B40" s="835"/>
      <c r="C40" s="1137"/>
      <c r="D40" s="13"/>
      <c r="E40" s="1137"/>
      <c r="F40" s="212"/>
      <c r="G40" s="14"/>
      <c r="H40" s="67"/>
      <c r="I40" s="67"/>
      <c r="J40" s="14"/>
      <c r="K40" s="14"/>
      <c r="L40" s="14"/>
      <c r="M40" s="14"/>
      <c r="N40" s="10"/>
      <c r="O40" s="1136"/>
      <c r="P40" s="32"/>
      <c r="Q40" s="93"/>
      <c r="R40" s="93"/>
      <c r="S40" s="876"/>
      <c r="T40" s="876"/>
      <c r="U40" s="876"/>
      <c r="V40" s="31"/>
      <c r="W40" s="31"/>
      <c r="X40" s="16">
        <f t="shared" si="4"/>
        <v>0</v>
      </c>
      <c r="Y40" s="16">
        <f>X40-M40</f>
        <v>0</v>
      </c>
    </row>
    <row r="41" spans="1:25" s="30" customFormat="1" ht="15">
      <c r="A41" s="112"/>
      <c r="B41" s="835"/>
      <c r="C41" s="1137"/>
      <c r="D41" s="13"/>
      <c r="E41" s="1137"/>
      <c r="F41" s="212"/>
      <c r="G41" s="14"/>
      <c r="H41" s="67"/>
      <c r="I41" s="67"/>
      <c r="J41" s="14"/>
      <c r="K41" s="14"/>
      <c r="L41" s="14"/>
      <c r="M41" s="14"/>
      <c r="N41" s="10"/>
      <c r="O41" s="1136"/>
      <c r="P41" s="32"/>
      <c r="Q41" s="93"/>
      <c r="R41" s="93"/>
      <c r="S41" s="876"/>
      <c r="T41" s="876"/>
      <c r="U41" s="876"/>
      <c r="V41" s="31"/>
      <c r="W41" s="31"/>
      <c r="X41" s="16">
        <f t="shared" si="4"/>
        <v>0</v>
      </c>
      <c r="Y41" s="16">
        <f>X41-M41</f>
        <v>0</v>
      </c>
    </row>
    <row r="42" spans="1:25" s="30" customFormat="1" ht="15" customHeight="1">
      <c r="A42" s="112"/>
      <c r="B42" s="6" t="s">
        <v>4572</v>
      </c>
      <c r="E42" s="1137"/>
      <c r="G42" s="14"/>
      <c r="H42" s="368"/>
      <c r="I42" s="369">
        <v>10000000</v>
      </c>
      <c r="J42" s="7">
        <f>J43</f>
        <v>0</v>
      </c>
      <c r="K42" s="7">
        <f t="shared" ref="K42:M42" si="18">K43</f>
        <v>0</v>
      </c>
      <c r="L42" s="7">
        <f t="shared" si="18"/>
        <v>10000000</v>
      </c>
      <c r="M42" s="7">
        <f t="shared" si="18"/>
        <v>10000000</v>
      </c>
      <c r="N42" s="6"/>
      <c r="O42" s="117"/>
      <c r="P42" s="32" t="s">
        <v>104</v>
      </c>
      <c r="Q42" s="7">
        <f t="shared" ref="Q42:R42" si="19">Q43</f>
        <v>10000000</v>
      </c>
      <c r="R42" s="7">
        <f t="shared" si="19"/>
        <v>10000000</v>
      </c>
      <c r="S42" s="876"/>
      <c r="T42" s="876"/>
      <c r="U42" s="876"/>
      <c r="V42" s="10" t="s">
        <v>517</v>
      </c>
      <c r="X42" s="16">
        <f t="shared" si="4"/>
        <v>10000000</v>
      </c>
      <c r="Y42" s="16">
        <f>X42-M42</f>
        <v>0</v>
      </c>
    </row>
    <row r="43" spans="1:25" s="30" customFormat="1" ht="80.25" customHeight="1">
      <c r="A43" s="1139" t="s">
        <v>4574</v>
      </c>
      <c r="B43" s="1131" t="s">
        <v>4571</v>
      </c>
      <c r="C43" s="1137" t="s">
        <v>536</v>
      </c>
      <c r="D43" s="26">
        <v>40842</v>
      </c>
      <c r="E43" s="1137" t="s">
        <v>4618</v>
      </c>
      <c r="F43" s="212" t="s">
        <v>4617</v>
      </c>
      <c r="G43" s="14"/>
      <c r="H43" s="368"/>
      <c r="I43" s="369"/>
      <c r="J43" s="14"/>
      <c r="K43" s="187"/>
      <c r="L43" s="14">
        <v>10000000</v>
      </c>
      <c r="M43" s="14">
        <f>SUM(J43:L43)</f>
        <v>10000000</v>
      </c>
      <c r="N43" s="6"/>
      <c r="O43" s="117"/>
      <c r="P43" s="32"/>
      <c r="Q43" s="187">
        <v>10000000</v>
      </c>
      <c r="R43" s="93">
        <v>10000000</v>
      </c>
      <c r="S43" s="1274" t="s">
        <v>6077</v>
      </c>
      <c r="T43" s="1274"/>
      <c r="U43" s="1274"/>
      <c r="V43" s="10"/>
      <c r="W43" s="31" t="s">
        <v>147</v>
      </c>
      <c r="X43" s="16"/>
      <c r="Y43" s="16"/>
    </row>
    <row r="44" spans="1:25" s="30" customFormat="1" ht="15">
      <c r="A44" s="112"/>
      <c r="B44" s="836"/>
      <c r="C44" s="1137"/>
      <c r="D44" s="26"/>
      <c r="E44" s="1137"/>
      <c r="F44" s="12"/>
      <c r="G44" s="14"/>
      <c r="H44" s="65"/>
      <c r="I44" s="65"/>
      <c r="J44" s="14"/>
      <c r="K44" s="14"/>
      <c r="L44" s="14"/>
      <c r="M44" s="14"/>
      <c r="N44" s="10"/>
      <c r="O44" s="1136"/>
      <c r="P44" s="32"/>
      <c r="Q44" s="93"/>
      <c r="R44" s="93"/>
      <c r="S44" s="876"/>
      <c r="T44" s="876"/>
      <c r="U44" s="876"/>
      <c r="V44" s="31"/>
      <c r="W44" s="31"/>
      <c r="X44" s="16">
        <f t="shared" si="4"/>
        <v>0</v>
      </c>
      <c r="Y44" s="16">
        <f>X44-M44</f>
        <v>0</v>
      </c>
    </row>
    <row r="45" spans="1:25" s="30" customFormat="1" ht="15">
      <c r="A45" s="112"/>
      <c r="B45" s="6" t="s">
        <v>537</v>
      </c>
      <c r="C45" s="77"/>
      <c r="D45" s="78"/>
      <c r="E45" s="1126"/>
      <c r="F45" s="98"/>
      <c r="G45" s="98"/>
      <c r="H45" s="243">
        <v>85400</v>
      </c>
      <c r="I45" s="243"/>
      <c r="J45" s="121">
        <f>J46</f>
        <v>0</v>
      </c>
      <c r="K45" s="121">
        <f>K46</f>
        <v>280000</v>
      </c>
      <c r="L45" s="121">
        <f t="shared" ref="L45:M45" si="20">L46</f>
        <v>0</v>
      </c>
      <c r="M45" s="121">
        <f t="shared" si="20"/>
        <v>280000</v>
      </c>
      <c r="N45" s="357">
        <f>M45+H45</f>
        <v>365400</v>
      </c>
      <c r="O45" s="812"/>
      <c r="P45" s="32"/>
      <c r="Q45" s="121">
        <f t="shared" ref="Q45:R45" si="21">Q46</f>
        <v>280000</v>
      </c>
      <c r="R45" s="121">
        <f t="shared" si="21"/>
        <v>279987</v>
      </c>
      <c r="S45" s="515"/>
      <c r="T45" s="515"/>
      <c r="U45" s="515"/>
      <c r="V45" s="31"/>
      <c r="W45" s="31"/>
      <c r="X45" s="16">
        <f t="shared" si="4"/>
        <v>280000</v>
      </c>
      <c r="Y45" s="16">
        <f>X45-M45</f>
        <v>0</v>
      </c>
    </row>
    <row r="46" spans="1:25" s="119" customFormat="1" ht="56.25" customHeight="1">
      <c r="A46" s="1139" t="s">
        <v>4575</v>
      </c>
      <c r="B46" s="1131" t="s">
        <v>4576</v>
      </c>
      <c r="C46" s="1137" t="s">
        <v>538</v>
      </c>
      <c r="D46" s="13">
        <v>40835</v>
      </c>
      <c r="E46" s="1137" t="s">
        <v>4960</v>
      </c>
      <c r="F46" s="12" t="s">
        <v>4959</v>
      </c>
      <c r="G46" s="14"/>
      <c r="H46" s="67"/>
      <c r="I46" s="93">
        <v>280000</v>
      </c>
      <c r="J46" s="14"/>
      <c r="K46" s="14">
        <v>280000</v>
      </c>
      <c r="L46" s="14"/>
      <c r="M46" s="14">
        <f>SUM(J46:L46)</f>
        <v>280000</v>
      </c>
      <c r="N46" s="10"/>
      <c r="O46" s="1136"/>
      <c r="P46" s="32" t="s">
        <v>104</v>
      </c>
      <c r="Q46" s="93">
        <v>280000</v>
      </c>
      <c r="R46" s="93">
        <v>279987</v>
      </c>
      <c r="S46" s="1332" t="s">
        <v>6078</v>
      </c>
      <c r="T46" s="1332"/>
      <c r="U46" s="1332"/>
      <c r="V46" s="31" t="s">
        <v>517</v>
      </c>
      <c r="W46" s="12" t="s">
        <v>539</v>
      </c>
      <c r="X46" s="16">
        <f t="shared" si="4"/>
        <v>280000</v>
      </c>
      <c r="Y46" s="16">
        <f>X46-M46</f>
        <v>0</v>
      </c>
    </row>
    <row r="47" spans="1:25" s="16" customFormat="1" ht="15">
      <c r="A47" s="236"/>
      <c r="B47" s="6" t="s">
        <v>427</v>
      </c>
      <c r="C47" s="1137"/>
      <c r="D47" s="26"/>
      <c r="E47" s="1137"/>
      <c r="F47" s="12"/>
      <c r="G47" s="14"/>
      <c r="H47" s="14"/>
      <c r="I47" s="93">
        <v>105000</v>
      </c>
      <c r="J47" s="7">
        <f>J48</f>
        <v>0</v>
      </c>
      <c r="K47" s="7">
        <f t="shared" ref="K47:L47" si="22">K48</f>
        <v>105000</v>
      </c>
      <c r="L47" s="7">
        <f t="shared" si="22"/>
        <v>0</v>
      </c>
      <c r="M47" s="7">
        <f>SUM(M48:M48)</f>
        <v>105000</v>
      </c>
      <c r="N47" s="10"/>
      <c r="O47" s="1136"/>
      <c r="P47" s="1137"/>
      <c r="Q47" s="7">
        <f t="shared" ref="Q47:R47" si="23">SUM(Q48:Q48)</f>
        <v>105000</v>
      </c>
      <c r="R47" s="7">
        <f t="shared" si="23"/>
        <v>102989</v>
      </c>
      <c r="S47" s="876"/>
      <c r="T47" s="876"/>
      <c r="U47" s="876"/>
      <c r="V47" s="14"/>
      <c r="W47" s="14"/>
      <c r="X47" s="16">
        <f>SUM(J47:L47)</f>
        <v>105000</v>
      </c>
      <c r="Y47" s="16">
        <f>X47-M47</f>
        <v>0</v>
      </c>
    </row>
    <row r="48" spans="1:25" s="374" customFormat="1" ht="21" customHeight="1">
      <c r="A48" s="1139" t="s">
        <v>4577</v>
      </c>
      <c r="B48" s="1131" t="s">
        <v>4579</v>
      </c>
      <c r="C48" s="1339" t="s">
        <v>544</v>
      </c>
      <c r="D48" s="361">
        <v>40835</v>
      </c>
      <c r="E48" s="779"/>
      <c r="F48" s="1383" t="s">
        <v>543</v>
      </c>
      <c r="G48" s="360"/>
      <c r="H48" s="93">
        <v>45690</v>
      </c>
      <c r="J48" s="14"/>
      <c r="K48" s="14">
        <v>105000</v>
      </c>
      <c r="L48" s="14"/>
      <c r="M48" s="1355">
        <f>SUM(J48:L48)</f>
        <v>105000</v>
      </c>
      <c r="N48" s="6">
        <f>M48+H48</f>
        <v>150690</v>
      </c>
      <c r="O48" s="117"/>
      <c r="P48" s="32" t="s">
        <v>102</v>
      </c>
      <c r="Q48" s="1340">
        <v>105000</v>
      </c>
      <c r="R48" s="1341">
        <v>102989</v>
      </c>
      <c r="S48" s="1332" t="s">
        <v>6080</v>
      </c>
      <c r="T48" s="1332"/>
      <c r="U48" s="1332"/>
      <c r="V48" s="358" t="s">
        <v>517</v>
      </c>
      <c r="W48" s="31" t="s">
        <v>545</v>
      </c>
      <c r="X48" s="16">
        <f>SUM(J48:L48)</f>
        <v>105000</v>
      </c>
      <c r="Y48" s="16">
        <f>X48-M48</f>
        <v>0</v>
      </c>
    </row>
    <row r="49" spans="1:27" s="374" customFormat="1" ht="22.5" customHeight="1">
      <c r="A49" s="1139" t="s">
        <v>4580</v>
      </c>
      <c r="B49" s="1131" t="s">
        <v>4578</v>
      </c>
      <c r="C49" s="1339"/>
      <c r="D49" s="361"/>
      <c r="E49" s="779"/>
      <c r="F49" s="1383"/>
      <c r="G49" s="360"/>
      <c r="H49" s="93"/>
      <c r="J49" s="14"/>
      <c r="K49" s="14"/>
      <c r="L49" s="14"/>
      <c r="M49" s="1357"/>
      <c r="N49" s="6"/>
      <c r="O49" s="117"/>
      <c r="P49" s="32"/>
      <c r="Q49" s="1340"/>
      <c r="R49" s="1341"/>
      <c r="S49" s="1332"/>
      <c r="T49" s="1332"/>
      <c r="U49" s="1332"/>
      <c r="V49" s="358"/>
      <c r="W49" s="31"/>
      <c r="X49" s="16"/>
      <c r="Y49" s="16"/>
    </row>
    <row r="50" spans="1:27" s="706" customFormat="1" ht="18" customHeight="1">
      <c r="B50" s="837"/>
      <c r="C50" s="1137"/>
      <c r="D50" s="13"/>
      <c r="E50" s="1137"/>
      <c r="F50" s="12"/>
      <c r="G50" s="14"/>
      <c r="H50" s="67"/>
      <c r="I50" s="67"/>
      <c r="J50" s="14"/>
      <c r="K50" s="14"/>
      <c r="L50" s="14"/>
      <c r="M50" s="14"/>
      <c r="N50" s="10"/>
      <c r="O50" s="1136"/>
      <c r="P50" s="32"/>
      <c r="Q50" s="93"/>
      <c r="R50" s="93"/>
      <c r="S50" s="876"/>
      <c r="T50" s="876"/>
      <c r="U50" s="876"/>
      <c r="V50" s="31"/>
      <c r="W50" s="31"/>
      <c r="X50" s="16">
        <f>SUM(J50:L50)</f>
        <v>0</v>
      </c>
      <c r="Y50" s="16">
        <f t="shared" ref="Y50:Y68" si="24">X50-M50</f>
        <v>0</v>
      </c>
      <c r="Z50" s="704"/>
      <c r="AA50" s="705"/>
    </row>
    <row r="51" spans="1:27" s="706" customFormat="1" ht="16.5">
      <c r="B51" s="6" t="s">
        <v>540</v>
      </c>
      <c r="C51" s="179"/>
      <c r="D51" s="365"/>
      <c r="E51" s="77"/>
      <c r="F51" s="364"/>
      <c r="G51" s="236"/>
      <c r="H51" s="109"/>
      <c r="I51" s="109"/>
      <c r="J51" s="221">
        <f>J52</f>
        <v>0</v>
      </c>
      <c r="K51" s="221">
        <f>K52</f>
        <v>0</v>
      </c>
      <c r="L51" s="221">
        <f>L52</f>
        <v>570000</v>
      </c>
      <c r="M51" s="221">
        <f>M52</f>
        <v>570000</v>
      </c>
      <c r="N51" s="366"/>
      <c r="O51" s="810"/>
      <c r="P51" s="32"/>
      <c r="Q51" s="221">
        <f t="shared" ref="Q51:R51" si="25">Q52</f>
        <v>570000</v>
      </c>
      <c r="R51" s="221">
        <f t="shared" si="25"/>
        <v>570000</v>
      </c>
      <c r="S51" s="926"/>
      <c r="T51" s="926"/>
      <c r="U51" s="926"/>
      <c r="V51" s="31"/>
      <c r="W51" s="31"/>
      <c r="X51" s="16">
        <f t="shared" si="4"/>
        <v>570000</v>
      </c>
      <c r="Y51" s="16">
        <f t="shared" si="24"/>
        <v>0</v>
      </c>
      <c r="Z51" s="704">
        <f>Y51+M28</f>
        <v>100000</v>
      </c>
      <c r="AA51" s="705"/>
    </row>
    <row r="52" spans="1:27" s="706" customFormat="1" ht="48" customHeight="1">
      <c r="A52" s="1139" t="s">
        <v>4581</v>
      </c>
      <c r="B52" s="1131" t="s">
        <v>541</v>
      </c>
      <c r="C52" s="1137" t="s">
        <v>542</v>
      </c>
      <c r="D52" s="13">
        <v>40840</v>
      </c>
      <c r="E52" s="1137" t="s">
        <v>4625</v>
      </c>
      <c r="F52" s="12" t="s">
        <v>4617</v>
      </c>
      <c r="G52" s="14"/>
      <c r="H52" s="67"/>
      <c r="I52" s="93">
        <v>570000</v>
      </c>
      <c r="J52" s="14"/>
      <c r="K52" s="14"/>
      <c r="L52" s="14">
        <v>570000</v>
      </c>
      <c r="M52" s="14">
        <f>SUM(J52:L52)</f>
        <v>570000</v>
      </c>
      <c r="N52" s="10"/>
      <c r="O52" s="1136"/>
      <c r="P52" s="32" t="s">
        <v>104</v>
      </c>
      <c r="Q52" s="93">
        <v>570000</v>
      </c>
      <c r="R52" s="93">
        <v>570000</v>
      </c>
      <c r="S52" s="1332" t="s">
        <v>6079</v>
      </c>
      <c r="T52" s="1332"/>
      <c r="U52" s="1332"/>
      <c r="V52" s="31" t="s">
        <v>517</v>
      </c>
      <c r="W52" s="31" t="s">
        <v>147</v>
      </c>
      <c r="X52" s="16">
        <f t="shared" si="4"/>
        <v>570000</v>
      </c>
      <c r="Y52" s="16">
        <f t="shared" si="24"/>
        <v>0</v>
      </c>
      <c r="Z52" s="704"/>
      <c r="AA52" s="705"/>
    </row>
    <row r="53" spans="1:27" s="706" customFormat="1" ht="18" customHeight="1">
      <c r="B53" s="836"/>
      <c r="C53" s="1137"/>
      <c r="D53" s="13"/>
      <c r="E53" s="1137"/>
      <c r="F53" s="12"/>
      <c r="G53" s="14"/>
      <c r="H53" s="67"/>
      <c r="I53" s="67"/>
      <c r="J53" s="14"/>
      <c r="K53" s="14"/>
      <c r="L53" s="14"/>
      <c r="M53" s="14"/>
      <c r="N53" s="10"/>
      <c r="O53" s="1136"/>
      <c r="P53" s="32"/>
      <c r="Q53" s="93"/>
      <c r="R53" s="93"/>
      <c r="S53" s="876"/>
      <c r="T53" s="876"/>
      <c r="U53" s="876"/>
      <c r="V53" s="31"/>
      <c r="W53" s="31"/>
      <c r="X53" s="16">
        <f t="shared" si="4"/>
        <v>0</v>
      </c>
      <c r="Y53" s="16">
        <f t="shared" si="24"/>
        <v>0</v>
      </c>
      <c r="Z53" s="704"/>
      <c r="AA53" s="705"/>
    </row>
    <row r="54" spans="1:27" s="706" customFormat="1" ht="18" customHeight="1">
      <c r="B54" s="6" t="s">
        <v>551</v>
      </c>
      <c r="C54" s="1137"/>
      <c r="D54" s="13"/>
      <c r="E54" s="1137"/>
      <c r="F54" s="12"/>
      <c r="G54" s="14"/>
      <c r="H54" s="67"/>
      <c r="I54" s="375">
        <f>SUM(I55:I2884)</f>
        <v>45174239</v>
      </c>
      <c r="J54" s="376" t="e">
        <f>J55+J60+J63+J70+J82+J81+J84+J89+J96+J101+J104+J107+J113+J117+J121+J191+J216+J330+J335+J340+J2881+J1519+J416</f>
        <v>#REF!</v>
      </c>
      <c r="K54" s="376" t="e">
        <f>K55+K60+K63+K70+K82+K81+K84+K89+K96+K101+K104+K107+K113+K117+K121+K191+K216+K330+K335+K340+K411+K2881+K1519+K416</f>
        <v>#REF!</v>
      </c>
      <c r="L54" s="376" t="e">
        <f>L55+L60+L63+L70+L82+L81+L84+L89+L96+L101+L104+L107+L113+L117+L121+L191+L216+L330+L335+L340+L411+L2881+L1519+L416</f>
        <v>#REF!</v>
      </c>
      <c r="M54" s="376">
        <f>M55+M60+M63+M70+M82+M81+M84+M89+M96+M101+M104+M107+M113+M117+M121+M191+M216+M330+M335+M340+M411+M2881+M1519+M416</f>
        <v>40442164.463</v>
      </c>
      <c r="N54" s="10"/>
      <c r="O54" s="1136"/>
      <c r="P54" s="32"/>
      <c r="Q54" s="376">
        <f>Q55+Q60+Q63+Q70+Q82+Q81+Q84+Q89+Q96+Q101+Q104+Q107+Q113+Q117+Q121+Q191+Q216+Q330+Q335+Q340+Q411+Q2881+Q1519+Q416</f>
        <v>28169932.64948</v>
      </c>
      <c r="R54" s="376">
        <f>R55+R60+R63+R70+R82+R81+R84+R89+R96+R101+R104+R107+R113+R117+R121+R191+R216+R330+R335+R340+R411+R2881+R1519+R416</f>
        <v>23863739.79104</v>
      </c>
      <c r="S54" s="876"/>
      <c r="T54" s="876"/>
      <c r="U54" s="876"/>
      <c r="V54" s="31"/>
      <c r="W54" s="31"/>
      <c r="X54" s="16" t="e">
        <f t="shared" si="4"/>
        <v>#REF!</v>
      </c>
      <c r="Y54" s="16" t="e">
        <f t="shared" si="24"/>
        <v>#REF!</v>
      </c>
      <c r="Z54" s="704"/>
      <c r="AA54" s="705"/>
    </row>
    <row r="55" spans="1:27" s="706" customFormat="1" ht="18" customHeight="1">
      <c r="B55" s="1125" t="s">
        <v>4582</v>
      </c>
      <c r="C55" s="1137"/>
      <c r="D55" s="13"/>
      <c r="E55" s="1137"/>
      <c r="F55" s="12"/>
      <c r="G55" s="14"/>
      <c r="H55" s="67"/>
      <c r="I55" s="377">
        <v>758385</v>
      </c>
      <c r="J55" s="378">
        <f>SUM(J57:J58)</f>
        <v>0</v>
      </c>
      <c r="K55" s="378">
        <f>SUM(K57:K58)</f>
        <v>388261</v>
      </c>
      <c r="L55" s="378">
        <f>SUM(L57:L58)</f>
        <v>370124</v>
      </c>
      <c r="M55" s="378">
        <f>SUM(M57:M58)</f>
        <v>758385</v>
      </c>
      <c r="N55" s="10"/>
      <c r="O55" s="1136"/>
      <c r="P55" s="32"/>
      <c r="Q55" s="378">
        <f t="shared" ref="Q55:R55" si="26">SUM(Q57:Q58)</f>
        <v>646779</v>
      </c>
      <c r="R55" s="378">
        <f t="shared" si="26"/>
        <v>327612</v>
      </c>
      <c r="S55" s="876"/>
      <c r="T55" s="876"/>
      <c r="U55" s="876"/>
      <c r="V55" s="31"/>
      <c r="W55" s="31"/>
      <c r="X55" s="16">
        <f t="shared" si="4"/>
        <v>758385</v>
      </c>
      <c r="Y55" s="16">
        <f t="shared" si="24"/>
        <v>0</v>
      </c>
      <c r="Z55" s="704"/>
      <c r="AA55" s="705"/>
    </row>
    <row r="56" spans="1:27" s="16" customFormat="1" ht="15">
      <c r="A56" s="236"/>
      <c r="B56" s="6" t="s">
        <v>552</v>
      </c>
      <c r="C56" s="179"/>
      <c r="D56" s="379"/>
      <c r="E56" s="23"/>
      <c r="F56" s="12"/>
      <c r="G56" s="1103"/>
      <c r="H56" s="357"/>
      <c r="N56" s="357"/>
      <c r="O56" s="812"/>
      <c r="P56" s="1137"/>
      <c r="Q56" s="243"/>
      <c r="R56" s="243"/>
      <c r="S56" s="515"/>
      <c r="T56" s="515"/>
      <c r="U56" s="515"/>
      <c r="V56" s="14"/>
      <c r="W56" s="14"/>
      <c r="X56" s="16">
        <f t="shared" si="4"/>
        <v>0</v>
      </c>
      <c r="Y56" s="16">
        <f t="shared" si="24"/>
        <v>0</v>
      </c>
    </row>
    <row r="57" spans="1:27" s="16" customFormat="1" ht="30">
      <c r="A57" s="1347" t="s">
        <v>4583</v>
      </c>
      <c r="B57" s="1131" t="s">
        <v>4584</v>
      </c>
      <c r="C57" s="1137" t="s">
        <v>553</v>
      </c>
      <c r="D57" s="26">
        <v>40834</v>
      </c>
      <c r="E57" s="1137" t="s">
        <v>851</v>
      </c>
      <c r="F57" s="12" t="s">
        <v>4961</v>
      </c>
      <c r="G57" s="14"/>
      <c r="H57" s="65">
        <v>564310</v>
      </c>
      <c r="I57" s="65"/>
      <c r="J57" s="14"/>
      <c r="K57" s="14">
        <v>255500</v>
      </c>
      <c r="L57" s="14">
        <v>244500</v>
      </c>
      <c r="M57" s="22">
        <f>SUM(K57:L57)</f>
        <v>500000</v>
      </c>
      <c r="N57" s="10">
        <f>M57+H57</f>
        <v>1064310</v>
      </c>
      <c r="O57" s="1136"/>
      <c r="P57" s="32" t="s">
        <v>102</v>
      </c>
      <c r="Q57" s="93">
        <f>358632+136033</f>
        <v>494665</v>
      </c>
      <c r="R57" s="93">
        <f>216247+16619</f>
        <v>232866</v>
      </c>
      <c r="S57" s="876"/>
      <c r="T57" s="876"/>
      <c r="U57" s="876"/>
      <c r="V57" s="14" t="s">
        <v>517</v>
      </c>
      <c r="W57" s="14" t="s">
        <v>554</v>
      </c>
      <c r="X57" s="16">
        <f t="shared" si="4"/>
        <v>500000</v>
      </c>
      <c r="Y57" s="16">
        <f t="shared" si="24"/>
        <v>0</v>
      </c>
    </row>
    <row r="58" spans="1:27" s="16" customFormat="1" ht="30">
      <c r="A58" s="1347"/>
      <c r="B58" s="1131" t="s">
        <v>555</v>
      </c>
      <c r="C58" s="1137" t="s">
        <v>556</v>
      </c>
      <c r="D58" s="26">
        <v>40834</v>
      </c>
      <c r="E58" s="1137" t="s">
        <v>4963</v>
      </c>
      <c r="F58" s="12" t="s">
        <v>4962</v>
      </c>
      <c r="G58" s="1103"/>
      <c r="H58" s="65">
        <v>688279</v>
      </c>
      <c r="I58" s="65"/>
      <c r="J58" s="79"/>
      <c r="K58" s="14">
        <v>132761</v>
      </c>
      <c r="L58" s="14">
        <v>125624</v>
      </c>
      <c r="M58" s="22">
        <f>SUM(K58:L58)</f>
        <v>258385</v>
      </c>
      <c r="N58" s="10">
        <f>M58+H58</f>
        <v>946664</v>
      </c>
      <c r="O58" s="1136"/>
      <c r="P58" s="32" t="s">
        <v>102</v>
      </c>
      <c r="Q58" s="93">
        <f>88479+63635</f>
        <v>152114</v>
      </c>
      <c r="R58" s="93">
        <f>1107+34971+58668</f>
        <v>94746</v>
      </c>
      <c r="S58" s="876"/>
      <c r="T58" s="876"/>
      <c r="U58" s="876"/>
      <c r="V58" s="14" t="s">
        <v>517</v>
      </c>
      <c r="W58" s="14" t="s">
        <v>557</v>
      </c>
      <c r="X58" s="16">
        <f t="shared" si="4"/>
        <v>258385</v>
      </c>
      <c r="Y58" s="16">
        <f t="shared" si="24"/>
        <v>0</v>
      </c>
    </row>
    <row r="59" spans="1:27" s="16" customFormat="1" ht="15">
      <c r="A59" s="236"/>
      <c r="B59" s="10"/>
      <c r="C59" s="1137"/>
      <c r="D59" s="26"/>
      <c r="E59" s="1137"/>
      <c r="F59" s="12"/>
      <c r="G59" s="1103"/>
      <c r="H59" s="65"/>
      <c r="I59" s="65"/>
      <c r="J59" s="79"/>
      <c r="K59" s="14"/>
      <c r="L59" s="14"/>
      <c r="M59" s="22"/>
      <c r="N59" s="10"/>
      <c r="O59" s="1136"/>
      <c r="P59" s="1137"/>
      <c r="Q59" s="93"/>
      <c r="R59" s="93"/>
      <c r="S59" s="876"/>
      <c r="T59" s="876"/>
      <c r="U59" s="876"/>
      <c r="V59" s="14"/>
      <c r="W59" s="14"/>
      <c r="X59" s="16">
        <f t="shared" si="4"/>
        <v>0</v>
      </c>
      <c r="Y59" s="16">
        <f t="shared" si="24"/>
        <v>0</v>
      </c>
    </row>
    <row r="60" spans="1:27" s="39" customFormat="1" ht="15.95" customHeight="1">
      <c r="B60" s="6" t="s">
        <v>558</v>
      </c>
      <c r="C60" s="23"/>
      <c r="D60" s="380"/>
      <c r="E60" s="1138"/>
      <c r="F60" s="22"/>
      <c r="G60" s="22"/>
      <c r="H60" s="22"/>
      <c r="I60" s="381">
        <v>143700</v>
      </c>
      <c r="J60" s="382">
        <f>J61</f>
        <v>0</v>
      </c>
      <c r="K60" s="382">
        <f t="shared" ref="K60:M60" si="27">K61</f>
        <v>5800</v>
      </c>
      <c r="L60" s="382">
        <f t="shared" si="27"/>
        <v>137900</v>
      </c>
      <c r="M60" s="382">
        <f t="shared" si="27"/>
        <v>143700</v>
      </c>
      <c r="N60" s="22"/>
      <c r="O60" s="23"/>
      <c r="P60" s="165"/>
      <c r="Q60" s="382">
        <f t="shared" ref="Q60:R60" si="28">Q61</f>
        <v>0</v>
      </c>
      <c r="R60" s="382">
        <f t="shared" si="28"/>
        <v>0</v>
      </c>
      <c r="S60" s="877"/>
      <c r="T60" s="877"/>
      <c r="U60" s="877"/>
      <c r="V60" s="22"/>
      <c r="X60" s="16">
        <f t="shared" si="4"/>
        <v>143700</v>
      </c>
      <c r="Y60" s="16">
        <f t="shared" si="24"/>
        <v>0</v>
      </c>
    </row>
    <row r="61" spans="1:27" s="39" customFormat="1" ht="30">
      <c r="A61" s="1347" t="s">
        <v>4586</v>
      </c>
      <c r="B61" s="1131" t="s">
        <v>4585</v>
      </c>
      <c r="C61" s="180" t="s">
        <v>559</v>
      </c>
      <c r="D61" s="26">
        <v>40858</v>
      </c>
      <c r="E61" s="69" t="s">
        <v>4965</v>
      </c>
      <c r="F61" s="12" t="s">
        <v>4964</v>
      </c>
      <c r="G61" s="14"/>
      <c r="H61" s="14">
        <v>533931</v>
      </c>
      <c r="I61" s="14"/>
      <c r="J61" s="14"/>
      <c r="K61" s="14">
        <v>5800</v>
      </c>
      <c r="L61" s="14">
        <v>137900</v>
      </c>
      <c r="M61" s="14">
        <f>SUM(K61:L61)</f>
        <v>143700</v>
      </c>
      <c r="N61" s="14">
        <f>M61+H61</f>
        <v>677631</v>
      </c>
      <c r="O61" s="1137"/>
      <c r="P61" s="32" t="s">
        <v>102</v>
      </c>
      <c r="Q61" s="216"/>
      <c r="R61" s="216"/>
      <c r="S61" s="403"/>
      <c r="T61" s="403"/>
      <c r="U61" s="403"/>
      <c r="V61" s="16"/>
      <c r="W61" s="12" t="s">
        <v>560</v>
      </c>
      <c r="X61" s="16">
        <f t="shared" si="4"/>
        <v>143700</v>
      </c>
      <c r="Y61" s="16">
        <f t="shared" si="24"/>
        <v>0</v>
      </c>
    </row>
    <row r="62" spans="1:27" s="39" customFormat="1" ht="15.95" customHeight="1">
      <c r="A62" s="1347"/>
      <c r="B62" s="740"/>
      <c r="C62" s="180"/>
      <c r="D62" s="26"/>
      <c r="E62" s="1138"/>
      <c r="F62" s="12"/>
      <c r="G62" s="14"/>
      <c r="H62" s="14"/>
      <c r="I62" s="14"/>
      <c r="J62" s="14"/>
      <c r="K62" s="14"/>
      <c r="L62" s="14"/>
      <c r="M62" s="14"/>
      <c r="N62" s="14"/>
      <c r="O62" s="1137"/>
      <c r="P62" s="1138"/>
      <c r="Q62" s="216"/>
      <c r="R62" s="216"/>
      <c r="S62" s="403"/>
      <c r="T62" s="403"/>
      <c r="U62" s="403"/>
      <c r="V62" s="16"/>
      <c r="W62" s="12"/>
      <c r="X62" s="16">
        <f t="shared" si="4"/>
        <v>0</v>
      </c>
      <c r="Y62" s="16">
        <f t="shared" si="24"/>
        <v>0</v>
      </c>
    </row>
    <row r="63" spans="1:27" s="39" customFormat="1" ht="15.95" customHeight="1">
      <c r="B63" s="6" t="s">
        <v>562</v>
      </c>
      <c r="C63" s="180"/>
      <c r="D63" s="26"/>
      <c r="E63" s="1126"/>
      <c r="F63" s="12"/>
      <c r="G63" s="14"/>
      <c r="H63" s="14"/>
      <c r="I63" s="383">
        <v>29800</v>
      </c>
      <c r="J63" s="384">
        <f>J64+J1709</f>
        <v>0</v>
      </c>
      <c r="K63" s="384">
        <f>K64+K1709</f>
        <v>0</v>
      </c>
      <c r="L63" s="384">
        <f>L64+L1709</f>
        <v>39800</v>
      </c>
      <c r="M63" s="384">
        <f>M64</f>
        <v>29800</v>
      </c>
      <c r="N63" s="14"/>
      <c r="O63" s="1137"/>
      <c r="P63" s="1138"/>
      <c r="Q63" s="384">
        <f>Q64</f>
        <v>29800</v>
      </c>
      <c r="R63" s="384">
        <f>R64</f>
        <v>29800</v>
      </c>
      <c r="S63" s="403"/>
      <c r="T63" s="403"/>
      <c r="U63" s="403"/>
      <c r="V63" s="16"/>
      <c r="W63" s="12"/>
      <c r="X63" s="16">
        <f t="shared" si="4"/>
        <v>39800</v>
      </c>
      <c r="Y63" s="16">
        <f t="shared" si="24"/>
        <v>10000</v>
      </c>
    </row>
    <row r="64" spans="1:27" s="16" customFormat="1" ht="30" customHeight="1">
      <c r="A64" s="1139" t="s">
        <v>4587</v>
      </c>
      <c r="B64" s="1131" t="s">
        <v>561</v>
      </c>
      <c r="C64" s="386" t="s">
        <v>563</v>
      </c>
      <c r="D64" s="387">
        <v>40830</v>
      </c>
      <c r="E64" s="1126"/>
      <c r="G64" s="1103"/>
      <c r="H64" s="10"/>
      <c r="I64" s="10"/>
      <c r="J64" s="11">
        <f>SUM(J65:J68)</f>
        <v>0</v>
      </c>
      <c r="K64" s="11">
        <f>SUM(K65:K68)</f>
        <v>0</v>
      </c>
      <c r="L64" s="11">
        <f>SUM(L65:L68)</f>
        <v>29800</v>
      </c>
      <c r="M64" s="938">
        <f>SUM(M65:M68)</f>
        <v>29800</v>
      </c>
      <c r="N64" s="10"/>
      <c r="O64" s="1136"/>
      <c r="P64" s="43" t="s">
        <v>102</v>
      </c>
      <c r="Q64" s="109">
        <v>29800</v>
      </c>
      <c r="R64" s="109">
        <v>29800</v>
      </c>
      <c r="V64" s="16" t="s">
        <v>517</v>
      </c>
      <c r="W64" s="236" t="s">
        <v>564</v>
      </c>
      <c r="X64" s="16">
        <f t="shared" si="4"/>
        <v>29800</v>
      </c>
      <c r="Y64" s="16">
        <f t="shared" si="24"/>
        <v>0</v>
      </c>
    </row>
    <row r="65" spans="1:25" s="236" customFormat="1" ht="30" customHeight="1">
      <c r="A65" s="1139"/>
      <c r="B65" s="388"/>
      <c r="C65" s="386"/>
      <c r="D65" s="387"/>
      <c r="E65" s="1126" t="s">
        <v>4967</v>
      </c>
      <c r="F65" s="790" t="s">
        <v>4966</v>
      </c>
      <c r="G65" s="385"/>
      <c r="H65" s="388">
        <v>1634904</v>
      </c>
      <c r="I65" s="388"/>
      <c r="J65" s="389"/>
      <c r="L65" s="236">
        <v>16486.02</v>
      </c>
      <c r="M65" s="236">
        <f>SUM(K65:L65)</f>
        <v>16486.02</v>
      </c>
      <c r="N65" s="10">
        <f>M65+H65</f>
        <v>1651390.02</v>
      </c>
      <c r="O65" s="1136"/>
      <c r="P65" s="179"/>
      <c r="Q65" s="93"/>
      <c r="R65" s="93"/>
      <c r="S65" s="1343" t="s">
        <v>4736</v>
      </c>
      <c r="T65" s="1343"/>
      <c r="U65" s="1343"/>
      <c r="X65" s="16">
        <f t="shared" si="4"/>
        <v>16486.02</v>
      </c>
      <c r="Y65" s="16">
        <f t="shared" si="24"/>
        <v>0</v>
      </c>
    </row>
    <row r="66" spans="1:25" s="236" customFormat="1" ht="30">
      <c r="B66" s="838"/>
      <c r="C66" s="372"/>
      <c r="D66" s="190"/>
      <c r="E66" s="1126" t="s">
        <v>4969</v>
      </c>
      <c r="F66" s="212" t="s">
        <v>4968</v>
      </c>
      <c r="G66" s="1103"/>
      <c r="H66" s="10">
        <v>4013096</v>
      </c>
      <c r="I66" s="10"/>
      <c r="J66" s="79"/>
      <c r="K66" s="14"/>
      <c r="L66" s="14">
        <v>133.97999999999999</v>
      </c>
      <c r="M66" s="14">
        <f t="shared" ref="M66:M68" si="29">SUM(K66:L66)</f>
        <v>133.97999999999999</v>
      </c>
      <c r="N66" s="10">
        <f>M66+H66</f>
        <v>4013229.98</v>
      </c>
      <c r="O66" s="1136"/>
      <c r="P66" s="179"/>
      <c r="Q66" s="93"/>
      <c r="R66" s="93"/>
      <c r="S66" s="1343"/>
      <c r="T66" s="1343"/>
      <c r="U66" s="1343"/>
      <c r="X66" s="16">
        <f t="shared" si="4"/>
        <v>133.97999999999999</v>
      </c>
      <c r="Y66" s="16">
        <f t="shared" si="24"/>
        <v>0</v>
      </c>
    </row>
    <row r="67" spans="1:25" s="236" customFormat="1" ht="15">
      <c r="B67" s="838"/>
      <c r="C67" s="372"/>
      <c r="D67" s="190"/>
      <c r="E67" s="1126" t="s">
        <v>4970</v>
      </c>
      <c r="F67" s="212" t="s">
        <v>4971</v>
      </c>
      <c r="G67" s="1103"/>
      <c r="H67" s="10">
        <v>313152</v>
      </c>
      <c r="I67" s="10"/>
      <c r="J67" s="79"/>
      <c r="K67" s="14"/>
      <c r="L67" s="14">
        <v>180</v>
      </c>
      <c r="M67" s="14">
        <f t="shared" si="29"/>
        <v>180</v>
      </c>
      <c r="N67" s="10">
        <f>M67+H67</f>
        <v>313332</v>
      </c>
      <c r="O67" s="1136"/>
      <c r="P67" s="179"/>
      <c r="Q67" s="93"/>
      <c r="R67" s="93"/>
      <c r="S67" s="1343"/>
      <c r="T67" s="1343"/>
      <c r="U67" s="1343"/>
      <c r="X67" s="16">
        <f t="shared" si="4"/>
        <v>180</v>
      </c>
      <c r="Y67" s="16">
        <f t="shared" si="24"/>
        <v>0</v>
      </c>
    </row>
    <row r="68" spans="1:25" s="236" customFormat="1" ht="15">
      <c r="B68" s="838"/>
      <c r="C68" s="372"/>
      <c r="D68" s="190"/>
      <c r="E68" s="1126" t="s">
        <v>4973</v>
      </c>
      <c r="F68" s="212" t="s">
        <v>4972</v>
      </c>
      <c r="G68" s="1103"/>
      <c r="H68" s="10">
        <v>903289</v>
      </c>
      <c r="I68" s="10"/>
      <c r="J68" s="79"/>
      <c r="K68" s="14"/>
      <c r="L68" s="14">
        <v>13000</v>
      </c>
      <c r="M68" s="14">
        <f t="shared" si="29"/>
        <v>13000</v>
      </c>
      <c r="N68" s="10">
        <f>M68+H68</f>
        <v>916289</v>
      </c>
      <c r="O68" s="1136"/>
      <c r="P68" s="179"/>
      <c r="Q68" s="93"/>
      <c r="R68" s="93"/>
      <c r="S68" s="1343"/>
      <c r="T68" s="1343"/>
      <c r="U68" s="1343"/>
      <c r="X68" s="16">
        <f t="shared" si="4"/>
        <v>13000</v>
      </c>
      <c r="Y68" s="16">
        <f t="shared" si="24"/>
        <v>0</v>
      </c>
    </row>
    <row r="69" spans="1:25" s="236" customFormat="1" ht="15">
      <c r="B69" s="838"/>
      <c r="C69" s="372"/>
      <c r="D69" s="190"/>
      <c r="E69" s="1126"/>
      <c r="F69" s="212"/>
      <c r="G69" s="1103"/>
      <c r="H69" s="10"/>
      <c r="I69" s="10"/>
      <c r="J69" s="79"/>
      <c r="K69" s="14"/>
      <c r="L69" s="14"/>
      <c r="M69" s="14"/>
      <c r="N69" s="10"/>
      <c r="O69" s="1136"/>
      <c r="P69" s="179"/>
      <c r="Q69" s="93"/>
      <c r="R69" s="93"/>
      <c r="S69" s="876"/>
      <c r="T69" s="876"/>
      <c r="U69" s="876"/>
      <c r="X69" s="16"/>
      <c r="Y69" s="16"/>
    </row>
    <row r="70" spans="1:25" s="236" customFormat="1" ht="15">
      <c r="A70" s="1139" t="s">
        <v>4588</v>
      </c>
      <c r="B70" s="339" t="s">
        <v>569</v>
      </c>
      <c r="C70" s="372"/>
      <c r="D70" s="190"/>
      <c r="E70" s="779"/>
      <c r="F70" s="212"/>
      <c r="G70" s="1103"/>
      <c r="H70" s="10"/>
      <c r="I70" s="939">
        <v>1637880</v>
      </c>
      <c r="J70" s="940">
        <f>J71+J79</f>
        <v>0</v>
      </c>
      <c r="K70" s="940">
        <f t="shared" ref="K70:M70" si="30">K71+K79</f>
        <v>200300</v>
      </c>
      <c r="L70" s="940">
        <f t="shared" si="30"/>
        <v>1437580.3229999999</v>
      </c>
      <c r="M70" s="940">
        <f t="shared" si="30"/>
        <v>1637880.3229999999</v>
      </c>
      <c r="N70" s="388"/>
      <c r="O70" s="775"/>
      <c r="P70" s="179"/>
      <c r="Q70" s="940">
        <f t="shared" ref="Q70:R70" si="31">Q71+Q79</f>
        <v>1637880</v>
      </c>
      <c r="R70" s="940">
        <f t="shared" si="31"/>
        <v>1507312</v>
      </c>
      <c r="S70" s="876"/>
      <c r="T70" s="876"/>
      <c r="U70" s="876"/>
      <c r="X70" s="16">
        <f t="shared" si="4"/>
        <v>1637880.3229999999</v>
      </c>
      <c r="Y70" s="16">
        <f t="shared" ref="Y70:Y86" si="32">X70-M70</f>
        <v>0</v>
      </c>
    </row>
    <row r="71" spans="1:25" s="236" customFormat="1" ht="15">
      <c r="B71" s="839" t="s">
        <v>31</v>
      </c>
      <c r="C71" s="372"/>
      <c r="D71" s="190"/>
      <c r="E71" s="779"/>
      <c r="F71" s="212"/>
      <c r="G71" s="1103"/>
      <c r="H71" s="10"/>
      <c r="I71" s="6"/>
      <c r="J71" s="100">
        <f>J72+J76</f>
        <v>0</v>
      </c>
      <c r="K71" s="100">
        <f>K72+K76</f>
        <v>200300</v>
      </c>
      <c r="L71" s="100">
        <f t="shared" ref="L71:N71" si="33">L72+L76</f>
        <v>876930</v>
      </c>
      <c r="M71" s="100">
        <f t="shared" si="33"/>
        <v>1077230</v>
      </c>
      <c r="N71" s="100">
        <f t="shared" si="33"/>
        <v>0</v>
      </c>
      <c r="O71" s="1136"/>
      <c r="P71" s="179"/>
      <c r="Q71" s="100">
        <f t="shared" ref="Q71:R71" si="34">Q72+Q76</f>
        <v>1077230</v>
      </c>
      <c r="R71" s="100">
        <f t="shared" si="34"/>
        <v>999865</v>
      </c>
      <c r="S71" s="876"/>
      <c r="T71" s="876"/>
      <c r="U71" s="876"/>
      <c r="X71" s="16">
        <f t="shared" si="4"/>
        <v>1077230</v>
      </c>
      <c r="Y71" s="16">
        <f t="shared" si="32"/>
        <v>0</v>
      </c>
    </row>
    <row r="72" spans="1:25" s="739" customFormat="1" ht="15.95" customHeight="1">
      <c r="B72" s="840" t="s">
        <v>11</v>
      </c>
      <c r="C72" s="166"/>
      <c r="D72" s="391"/>
      <c r="E72" s="23"/>
      <c r="F72" s="38"/>
      <c r="G72" s="38"/>
      <c r="H72" s="38"/>
      <c r="I72" s="38"/>
      <c r="J72" s="392">
        <f>SUM(J73:J74)</f>
        <v>0</v>
      </c>
      <c r="K72" s="392">
        <f t="shared" ref="K72:M72" si="35">SUM(K73:K74)</f>
        <v>0</v>
      </c>
      <c r="L72" s="392">
        <f t="shared" si="35"/>
        <v>839730</v>
      </c>
      <c r="M72" s="392">
        <f t="shared" si="35"/>
        <v>839730</v>
      </c>
      <c r="N72" s="38"/>
      <c r="O72" s="166"/>
      <c r="P72" s="1151"/>
      <c r="Q72" s="392">
        <f t="shared" ref="Q72:R72" si="36">SUM(Q73:Q74)</f>
        <v>839730</v>
      </c>
      <c r="R72" s="392">
        <f t="shared" si="36"/>
        <v>770037</v>
      </c>
      <c r="S72" s="877"/>
      <c r="T72" s="877"/>
      <c r="U72" s="877"/>
      <c r="V72" s="38"/>
      <c r="X72" s="16">
        <f t="shared" si="4"/>
        <v>839730</v>
      </c>
      <c r="Y72" s="16">
        <f t="shared" si="32"/>
        <v>0</v>
      </c>
    </row>
    <row r="73" spans="1:25" s="374" customFormat="1" ht="65.25" customHeight="1">
      <c r="A73" s="24"/>
      <c r="B73" s="834" t="s">
        <v>570</v>
      </c>
      <c r="C73" s="1137" t="s">
        <v>571</v>
      </c>
      <c r="D73" s="13">
        <v>40835</v>
      </c>
      <c r="E73" s="182" t="s">
        <v>4975</v>
      </c>
      <c r="F73" s="12" t="s">
        <v>4974</v>
      </c>
      <c r="G73" s="12"/>
      <c r="H73" s="10"/>
      <c r="I73" s="10"/>
      <c r="J73" s="14"/>
      <c r="K73" s="14"/>
      <c r="L73" s="14">
        <v>829730</v>
      </c>
      <c r="M73" s="14">
        <f>SUM(J73:L73)</f>
        <v>829730</v>
      </c>
      <c r="N73" s="10"/>
      <c r="O73" s="1136"/>
      <c r="P73" s="32" t="s">
        <v>102</v>
      </c>
      <c r="Q73" s="93">
        <f>750272+79458</f>
        <v>829730</v>
      </c>
      <c r="R73" s="93">
        <f>167046+512893+83446</f>
        <v>763385</v>
      </c>
      <c r="S73" s="1343" t="s">
        <v>6126</v>
      </c>
      <c r="T73" s="1343"/>
      <c r="U73" s="1343"/>
      <c r="V73" s="1137" t="s">
        <v>517</v>
      </c>
      <c r="W73" s="12" t="s">
        <v>572</v>
      </c>
      <c r="X73" s="16">
        <f t="shared" si="4"/>
        <v>829730</v>
      </c>
      <c r="Y73" s="16">
        <f t="shared" si="32"/>
        <v>0</v>
      </c>
    </row>
    <row r="74" spans="1:25" s="374" customFormat="1" ht="62.25" customHeight="1">
      <c r="A74" s="24"/>
      <c r="B74" s="834" t="s">
        <v>4589</v>
      </c>
      <c r="C74" s="19" t="s">
        <v>573</v>
      </c>
      <c r="D74" s="29">
        <v>40892</v>
      </c>
      <c r="E74" s="182" t="s">
        <v>4977</v>
      </c>
      <c r="F74" s="390" t="s">
        <v>4976</v>
      </c>
      <c r="G74" s="28"/>
      <c r="H74" s="21"/>
      <c r="I74" s="21"/>
      <c r="J74" s="21"/>
      <c r="K74" s="21"/>
      <c r="L74" s="21">
        <v>10000</v>
      </c>
      <c r="M74" s="22">
        <f>SUM(J74:L74)</f>
        <v>10000</v>
      </c>
      <c r="N74" s="21"/>
      <c r="O74" s="58"/>
      <c r="P74" s="32" t="s">
        <v>102</v>
      </c>
      <c r="Q74" s="93">
        <v>10000</v>
      </c>
      <c r="R74" s="93">
        <f>2833+3819</f>
        <v>6652</v>
      </c>
      <c r="S74" s="1326" t="s">
        <v>6127</v>
      </c>
      <c r="T74" s="1326"/>
      <c r="U74" s="1326"/>
      <c r="V74" s="1137" t="s">
        <v>517</v>
      </c>
      <c r="W74" s="12" t="s">
        <v>572</v>
      </c>
      <c r="X74" s="16">
        <f t="shared" ref="X74:X141" si="37">SUM(J74:L74)</f>
        <v>10000</v>
      </c>
      <c r="Y74" s="16">
        <f t="shared" si="32"/>
        <v>0</v>
      </c>
    </row>
    <row r="75" spans="1:25" s="374" customFormat="1" ht="15">
      <c r="A75" s="24"/>
      <c r="B75" s="1101"/>
      <c r="C75" s="19"/>
      <c r="D75" s="29"/>
      <c r="E75" s="182"/>
      <c r="F75" s="390"/>
      <c r="G75" s="28"/>
      <c r="H75" s="21"/>
      <c r="I75" s="21"/>
      <c r="J75" s="21"/>
      <c r="K75" s="21"/>
      <c r="L75" s="21"/>
      <c r="M75" s="22"/>
      <c r="N75" s="21"/>
      <c r="O75" s="58"/>
      <c r="P75" s="1138"/>
      <c r="Q75" s="93"/>
      <c r="R75" s="93"/>
      <c r="S75" s="927"/>
      <c r="T75" s="927"/>
      <c r="U75" s="927"/>
      <c r="V75" s="1137"/>
      <c r="W75" s="12"/>
      <c r="X75" s="16">
        <f t="shared" si="37"/>
        <v>0</v>
      </c>
      <c r="Y75" s="16">
        <f t="shared" si="32"/>
        <v>0</v>
      </c>
    </row>
    <row r="76" spans="1:25" s="9" customFormat="1" ht="15">
      <c r="A76" s="697"/>
      <c r="B76" s="840" t="s">
        <v>868</v>
      </c>
      <c r="C76" s="1140"/>
      <c r="D76" s="5"/>
      <c r="E76" s="1137"/>
      <c r="F76" s="393"/>
      <c r="G76" s="187"/>
      <c r="H76" s="6"/>
      <c r="I76" s="6"/>
      <c r="J76" s="7">
        <f>J77</f>
        <v>0</v>
      </c>
      <c r="K76" s="7">
        <f>SUM(K77:K77)</f>
        <v>200300</v>
      </c>
      <c r="L76" s="7">
        <f>SUM(L77:L77)</f>
        <v>37200</v>
      </c>
      <c r="M76" s="7">
        <f>SUM(M77:M77)</f>
        <v>237500</v>
      </c>
      <c r="N76" s="6"/>
      <c r="O76" s="117"/>
      <c r="P76" s="8"/>
      <c r="Q76" s="7">
        <f>SUM(Q77:Q77)</f>
        <v>237500</v>
      </c>
      <c r="R76" s="7">
        <f>SUM(R77:R77)</f>
        <v>229828</v>
      </c>
      <c r="S76" s="876"/>
      <c r="T76" s="876"/>
      <c r="U76" s="876"/>
      <c r="X76" s="16">
        <f t="shared" si="37"/>
        <v>237500</v>
      </c>
      <c r="Y76" s="16">
        <f t="shared" si="32"/>
        <v>0</v>
      </c>
    </row>
    <row r="77" spans="1:25" s="16" customFormat="1" ht="45">
      <c r="A77" s="236"/>
      <c r="B77" s="834" t="s">
        <v>574</v>
      </c>
      <c r="C77" s="1137" t="s">
        <v>575</v>
      </c>
      <c r="D77" s="13">
        <v>40835</v>
      </c>
      <c r="E77" s="1138" t="s">
        <v>4973</v>
      </c>
      <c r="F77" s="12" t="s">
        <v>4978</v>
      </c>
      <c r="G77" s="12"/>
      <c r="H77" s="10">
        <v>1043793</v>
      </c>
      <c r="I77" s="10"/>
      <c r="J77" s="14"/>
      <c r="K77" s="14">
        <v>200300</v>
      </c>
      <c r="L77" s="14">
        <v>37200</v>
      </c>
      <c r="M77" s="14">
        <f>SUM(J77:L77)</f>
        <v>237500</v>
      </c>
      <c r="N77" s="10">
        <f>H77+M77</f>
        <v>1281293</v>
      </c>
      <c r="O77" s="1136"/>
      <c r="P77" s="32" t="s">
        <v>102</v>
      </c>
      <c r="Q77" s="93">
        <f>213650+23850</f>
        <v>237500</v>
      </c>
      <c r="R77" s="93">
        <f>229228+600</f>
        <v>229828</v>
      </c>
      <c r="S77" s="876"/>
      <c r="T77" s="876"/>
      <c r="U77" s="876"/>
      <c r="V77" s="1137" t="s">
        <v>517</v>
      </c>
      <c r="W77" s="12" t="s">
        <v>576</v>
      </c>
      <c r="X77" s="16">
        <f t="shared" si="37"/>
        <v>237500</v>
      </c>
      <c r="Y77" s="16">
        <f t="shared" si="32"/>
        <v>0</v>
      </c>
    </row>
    <row r="78" spans="1:25" s="16" customFormat="1" ht="15">
      <c r="A78" s="236"/>
      <c r="B78" s="841"/>
      <c r="C78" s="1137"/>
      <c r="D78" s="13"/>
      <c r="E78" s="1138"/>
      <c r="F78" s="12"/>
      <c r="G78" s="12"/>
      <c r="H78" s="10"/>
      <c r="I78" s="10"/>
      <c r="J78" s="14"/>
      <c r="K78" s="14"/>
      <c r="L78" s="14"/>
      <c r="M78" s="14"/>
      <c r="N78" s="10"/>
      <c r="O78" s="1136"/>
      <c r="P78" s="1138"/>
      <c r="Q78" s="93"/>
      <c r="R78" s="93"/>
      <c r="S78" s="876"/>
      <c r="T78" s="876"/>
      <c r="U78" s="876"/>
      <c r="V78" s="1137"/>
      <c r="W78" s="12"/>
      <c r="X78" s="16">
        <f t="shared" si="37"/>
        <v>0</v>
      </c>
      <c r="Y78" s="16">
        <f t="shared" si="32"/>
        <v>0</v>
      </c>
    </row>
    <row r="79" spans="1:25" s="16" customFormat="1" ht="75">
      <c r="A79" s="236"/>
      <c r="B79" s="829" t="s">
        <v>577</v>
      </c>
      <c r="C79" s="1137" t="s">
        <v>578</v>
      </c>
      <c r="D79" s="13">
        <v>40837</v>
      </c>
      <c r="E79" s="1137" t="s">
        <v>4980</v>
      </c>
      <c r="F79" s="1129" t="s">
        <v>4979</v>
      </c>
      <c r="G79" s="1129"/>
      <c r="H79" s="394">
        <v>2500000</v>
      </c>
      <c r="I79" s="394"/>
      <c r="J79" s="94"/>
      <c r="K79" s="94"/>
      <c r="L79" s="395">
        <v>560650.32299999997</v>
      </c>
      <c r="M79" s="394">
        <f>SUM(J79:L79)</f>
        <v>560650.32299999997</v>
      </c>
      <c r="N79" s="1137" t="s">
        <v>517</v>
      </c>
      <c r="O79" s="1137"/>
      <c r="P79" s="179"/>
      <c r="Q79" s="223">
        <v>560650</v>
      </c>
      <c r="R79" s="223">
        <v>507447</v>
      </c>
      <c r="S79" s="1335" t="s">
        <v>4541</v>
      </c>
      <c r="T79" s="1335"/>
      <c r="U79" s="1335"/>
      <c r="V79" s="14" t="s">
        <v>572</v>
      </c>
      <c r="X79" s="16">
        <f t="shared" si="37"/>
        <v>560650.32299999997</v>
      </c>
      <c r="Y79" s="16">
        <f t="shared" si="32"/>
        <v>0</v>
      </c>
    </row>
    <row r="80" spans="1:25" s="16" customFormat="1" ht="15">
      <c r="A80" s="236"/>
      <c r="B80" s="841"/>
      <c r="C80" s="1137"/>
      <c r="D80" s="13"/>
      <c r="E80" s="1138"/>
      <c r="F80" s="12"/>
      <c r="G80" s="12"/>
      <c r="H80" s="10"/>
      <c r="I80" s="10"/>
      <c r="J80" s="14"/>
      <c r="K80" s="14"/>
      <c r="L80" s="14"/>
      <c r="M80" s="14"/>
      <c r="N80" s="10"/>
      <c r="O80" s="1136"/>
      <c r="P80" s="1138"/>
      <c r="Q80" s="93"/>
      <c r="R80" s="93"/>
      <c r="S80" s="876"/>
      <c r="T80" s="876"/>
      <c r="U80" s="876"/>
      <c r="V80" s="1137"/>
      <c r="W80" s="12"/>
      <c r="X80" s="16">
        <f t="shared" si="37"/>
        <v>0</v>
      </c>
      <c r="Y80" s="16">
        <f t="shared" si="32"/>
        <v>0</v>
      </c>
    </row>
    <row r="81" spans="1:25" s="16" customFormat="1" ht="65.25" customHeight="1">
      <c r="A81" s="1139" t="s">
        <v>4590</v>
      </c>
      <c r="B81" s="1125" t="s">
        <v>582</v>
      </c>
      <c r="C81" s="1137" t="s">
        <v>583</v>
      </c>
      <c r="D81" s="94">
        <v>40835</v>
      </c>
      <c r="E81" s="1137" t="s">
        <v>6562</v>
      </c>
      <c r="F81" s="12" t="s">
        <v>6563</v>
      </c>
      <c r="G81" s="393"/>
      <c r="H81" s="6"/>
      <c r="I81" s="383">
        <v>919306</v>
      </c>
      <c r="J81" s="383"/>
      <c r="K81" s="383">
        <v>919306</v>
      </c>
      <c r="L81" s="383"/>
      <c r="M81" s="383">
        <f>SUM(J81:L81)</f>
        <v>919306</v>
      </c>
      <c r="N81" s="398"/>
      <c r="O81" s="1136"/>
      <c r="P81" s="32" t="s">
        <v>102</v>
      </c>
      <c r="Q81" s="397">
        <f>654930+264376</f>
        <v>919306</v>
      </c>
      <c r="R81" s="397">
        <f>265667+542452+108067</f>
        <v>916186</v>
      </c>
      <c r="S81" s="1343" t="s">
        <v>6128</v>
      </c>
      <c r="T81" s="1343"/>
      <c r="U81" s="1343"/>
      <c r="V81" s="1137" t="s">
        <v>517</v>
      </c>
      <c r="W81" s="12" t="s">
        <v>572</v>
      </c>
      <c r="X81" s="16">
        <f>SUM(J81:L81)</f>
        <v>919306</v>
      </c>
      <c r="Y81" s="16">
        <f t="shared" si="32"/>
        <v>0</v>
      </c>
    </row>
    <row r="82" spans="1:25" s="16" customFormat="1" ht="53.25" customHeight="1">
      <c r="A82" s="1139" t="s">
        <v>4591</v>
      </c>
      <c r="B82" s="1125" t="s">
        <v>579</v>
      </c>
      <c r="C82" s="1137" t="s">
        <v>580</v>
      </c>
      <c r="D82" s="94">
        <v>40835</v>
      </c>
      <c r="E82" s="182" t="s">
        <v>4983</v>
      </c>
      <c r="F82" s="12" t="s">
        <v>4982</v>
      </c>
      <c r="G82" s="393"/>
      <c r="H82" s="6">
        <v>3218850</v>
      </c>
      <c r="I82" s="383">
        <v>411404</v>
      </c>
      <c r="J82" s="397"/>
      <c r="K82" s="397"/>
      <c r="L82" s="397">
        <v>411404</v>
      </c>
      <c r="M82" s="397">
        <f>SUM(J82:L82)</f>
        <v>411404</v>
      </c>
      <c r="N82" s="398">
        <f>H82+M82</f>
        <v>3630254</v>
      </c>
      <c r="O82" s="1136"/>
      <c r="P82" s="32" t="s">
        <v>102</v>
      </c>
      <c r="Q82" s="397">
        <v>411404</v>
      </c>
      <c r="R82" s="397">
        <f>45435+366022</f>
        <v>411457</v>
      </c>
      <c r="S82" s="1343" t="s">
        <v>1145</v>
      </c>
      <c r="T82" s="1343"/>
      <c r="U82" s="1343"/>
      <c r="V82" s="1137" t="s">
        <v>517</v>
      </c>
      <c r="W82" s="12" t="s">
        <v>581</v>
      </c>
      <c r="X82" s="16">
        <f t="shared" si="37"/>
        <v>411404</v>
      </c>
      <c r="Y82" s="16">
        <f t="shared" si="32"/>
        <v>0</v>
      </c>
    </row>
    <row r="83" spans="1:25" s="16" customFormat="1" ht="15">
      <c r="A83" s="236"/>
      <c r="B83" s="1125"/>
      <c r="C83" s="1140"/>
      <c r="D83" s="94"/>
      <c r="E83" s="1138"/>
      <c r="F83" s="393"/>
      <c r="G83" s="393"/>
      <c r="H83" s="6"/>
      <c r="I83" s="6"/>
      <c r="J83" s="6"/>
      <c r="K83" s="6"/>
      <c r="L83" s="6"/>
      <c r="M83" s="6"/>
      <c r="N83" s="10"/>
      <c r="O83" s="1136"/>
      <c r="P83" s="1138"/>
      <c r="Q83" s="93"/>
      <c r="R83" s="93"/>
      <c r="S83" s="876"/>
      <c r="T83" s="876"/>
      <c r="U83" s="876"/>
      <c r="V83" s="1137"/>
      <c r="W83" s="12"/>
      <c r="X83" s="16">
        <f t="shared" si="37"/>
        <v>0</v>
      </c>
      <c r="Y83" s="16">
        <f t="shared" si="32"/>
        <v>0</v>
      </c>
    </row>
    <row r="84" spans="1:25" s="16" customFormat="1" ht="15">
      <c r="A84" s="1139" t="s">
        <v>4592</v>
      </c>
      <c r="B84" s="339" t="s">
        <v>584</v>
      </c>
      <c r="C84" s="19"/>
      <c r="D84" s="29"/>
      <c r="E84" s="1137"/>
      <c r="F84" s="390"/>
      <c r="G84" s="28"/>
      <c r="H84" s="10"/>
      <c r="I84" s="397">
        <v>1292953</v>
      </c>
      <c r="J84" s="384">
        <f>J85</f>
        <v>0</v>
      </c>
      <c r="K84" s="384">
        <f t="shared" ref="K84:M84" si="38">K85</f>
        <v>1292953</v>
      </c>
      <c r="L84" s="384">
        <f t="shared" si="38"/>
        <v>0</v>
      </c>
      <c r="M84" s="384">
        <f t="shared" si="38"/>
        <v>1292953</v>
      </c>
      <c r="N84" s="10"/>
      <c r="O84" s="1136"/>
      <c r="P84" s="1138"/>
      <c r="Q84" s="384">
        <f t="shared" ref="Q84:R84" si="39">Q85</f>
        <v>1292945</v>
      </c>
      <c r="R84" s="384">
        <f t="shared" si="39"/>
        <v>891789</v>
      </c>
      <c r="S84" s="876"/>
      <c r="T84" s="876"/>
      <c r="U84" s="876"/>
      <c r="V84" s="1137"/>
      <c r="W84" s="12"/>
      <c r="X84" s="16">
        <f t="shared" si="37"/>
        <v>1292953</v>
      </c>
      <c r="Y84" s="16">
        <f t="shared" si="32"/>
        <v>0</v>
      </c>
    </row>
    <row r="85" spans="1:25" s="9" customFormat="1" ht="60" customHeight="1">
      <c r="A85" s="697"/>
      <c r="B85" s="829" t="s">
        <v>585</v>
      </c>
      <c r="C85" s="1138" t="s">
        <v>586</v>
      </c>
      <c r="D85" s="13">
        <v>40827</v>
      </c>
      <c r="E85" s="1137" t="s">
        <v>4984</v>
      </c>
      <c r="F85" s="12" t="s">
        <v>136</v>
      </c>
      <c r="G85" s="12" t="s">
        <v>136</v>
      </c>
      <c r="H85" s="14"/>
      <c r="K85" s="187">
        <v>1292953</v>
      </c>
      <c r="L85" s="187"/>
      <c r="M85" s="187">
        <f>SUM(J85:L85)</f>
        <v>1292953</v>
      </c>
      <c r="N85" s="1138"/>
      <c r="O85" s="117" t="s">
        <v>587</v>
      </c>
      <c r="P85" s="1140"/>
      <c r="Q85" s="93">
        <f>1050405+242540</f>
        <v>1292945</v>
      </c>
      <c r="R85" s="93">
        <f>132441+278114+481234</f>
        <v>891789</v>
      </c>
      <c r="S85" s="876"/>
      <c r="T85" s="876"/>
      <c r="U85" s="876"/>
      <c r="V85" s="187"/>
      <c r="W85" s="187"/>
      <c r="X85" s="16">
        <f t="shared" si="37"/>
        <v>1292953</v>
      </c>
      <c r="Y85" s="16">
        <f t="shared" si="32"/>
        <v>0</v>
      </c>
    </row>
    <row r="86" spans="1:25" s="362" customFormat="1" ht="15">
      <c r="A86" s="549"/>
      <c r="B86" s="1131"/>
      <c r="C86" s="1126"/>
      <c r="D86" s="361"/>
      <c r="E86" s="779"/>
      <c r="F86" s="212"/>
      <c r="G86" s="212"/>
      <c r="H86" s="10"/>
      <c r="I86" s="10"/>
      <c r="J86" s="10"/>
      <c r="K86" s="10"/>
      <c r="L86" s="10"/>
      <c r="M86" s="10"/>
      <c r="N86" s="10"/>
      <c r="O86" s="117"/>
      <c r="P86" s="769"/>
      <c r="Q86" s="93"/>
      <c r="R86" s="93"/>
      <c r="S86" s="876"/>
      <c r="T86" s="876"/>
      <c r="U86" s="876"/>
      <c r="V86" s="399"/>
      <c r="W86" s="393"/>
      <c r="X86" s="16">
        <f t="shared" si="37"/>
        <v>0</v>
      </c>
      <c r="Y86" s="16">
        <f t="shared" si="32"/>
        <v>0</v>
      </c>
    </row>
    <row r="87" spans="1:25" s="362" customFormat="1" ht="15">
      <c r="A87" s="1139" t="s">
        <v>4615</v>
      </c>
      <c r="B87" s="339" t="s">
        <v>4616</v>
      </c>
      <c r="C87" s="1126"/>
      <c r="D87" s="361"/>
      <c r="E87" s="779"/>
      <c r="F87" s="212"/>
      <c r="G87" s="212"/>
      <c r="H87" s="10"/>
      <c r="I87" s="10"/>
      <c r="J87" s="10"/>
      <c r="K87" s="10"/>
      <c r="L87" s="10"/>
      <c r="M87" s="10"/>
      <c r="N87" s="10"/>
      <c r="O87" s="117"/>
      <c r="P87" s="769"/>
      <c r="Q87" s="93"/>
      <c r="R87" s="93"/>
      <c r="S87" s="876"/>
      <c r="T87" s="876"/>
      <c r="U87" s="876"/>
      <c r="V87" s="399"/>
      <c r="W87" s="393"/>
      <c r="X87" s="16"/>
      <c r="Y87" s="16"/>
    </row>
    <row r="88" spans="1:25" s="362" customFormat="1" ht="15">
      <c r="A88" s="549"/>
      <c r="B88" s="1131"/>
      <c r="C88" s="1126"/>
      <c r="D88" s="361"/>
      <c r="E88" s="779"/>
      <c r="F88" s="212"/>
      <c r="G88" s="212"/>
      <c r="H88" s="10"/>
      <c r="I88" s="10"/>
      <c r="J88" s="10"/>
      <c r="K88" s="10"/>
      <c r="L88" s="10"/>
      <c r="M88" s="10"/>
      <c r="N88" s="10"/>
      <c r="O88" s="117"/>
      <c r="P88" s="769"/>
      <c r="Q88" s="93"/>
      <c r="R88" s="93"/>
      <c r="S88" s="876"/>
      <c r="T88" s="876"/>
      <c r="U88" s="876"/>
      <c r="V88" s="399"/>
      <c r="W88" s="393"/>
      <c r="X88" s="16"/>
      <c r="Y88" s="16"/>
    </row>
    <row r="89" spans="1:25" s="362" customFormat="1" ht="15">
      <c r="A89" s="1139" t="s">
        <v>4593</v>
      </c>
      <c r="B89" s="339" t="s">
        <v>588</v>
      </c>
      <c r="C89" s="348"/>
      <c r="D89" s="349"/>
      <c r="E89" s="779"/>
      <c r="F89" s="318"/>
      <c r="G89" s="318"/>
      <c r="H89" s="6"/>
      <c r="I89" s="383">
        <v>625000</v>
      </c>
      <c r="J89" s="384">
        <f>J90+J93</f>
        <v>0</v>
      </c>
      <c r="K89" s="384">
        <f t="shared" ref="K89:M89" si="40">K90+K93</f>
        <v>442133</v>
      </c>
      <c r="L89" s="384">
        <f t="shared" si="40"/>
        <v>162944</v>
      </c>
      <c r="M89" s="384">
        <f t="shared" si="40"/>
        <v>605077</v>
      </c>
      <c r="N89" s="6"/>
      <c r="O89" s="117"/>
      <c r="P89" s="769"/>
      <c r="Q89" s="384">
        <f t="shared" ref="Q89:R89" si="41">Q90+Q93</f>
        <v>442133</v>
      </c>
      <c r="R89" s="384">
        <f t="shared" si="41"/>
        <v>442133</v>
      </c>
      <c r="S89" s="876"/>
      <c r="T89" s="876"/>
      <c r="U89" s="876"/>
      <c r="V89" s="399"/>
      <c r="W89" s="393"/>
      <c r="X89" s="16">
        <f t="shared" si="37"/>
        <v>605077</v>
      </c>
      <c r="Y89" s="16">
        <f>X89-M89</f>
        <v>0</v>
      </c>
    </row>
    <row r="90" spans="1:25" s="362" customFormat="1" ht="15">
      <c r="A90" s="549"/>
      <c r="B90" s="829" t="s">
        <v>589</v>
      </c>
      <c r="C90" s="348"/>
      <c r="D90" s="349"/>
      <c r="E90" s="779"/>
      <c r="F90" s="318"/>
      <c r="G90" s="318"/>
      <c r="H90" s="6"/>
      <c r="I90" s="6"/>
      <c r="J90" s="400">
        <f>SUM(J91:J92)</f>
        <v>0</v>
      </c>
      <c r="K90" s="400">
        <f t="shared" ref="K90:M90" si="42">SUM(K91:K92)</f>
        <v>442133</v>
      </c>
      <c r="L90" s="400">
        <f t="shared" si="42"/>
        <v>0</v>
      </c>
      <c r="M90" s="400">
        <f t="shared" si="42"/>
        <v>442133</v>
      </c>
      <c r="N90" s="6"/>
      <c r="O90" s="117"/>
      <c r="P90" s="769"/>
      <c r="Q90" s="359">
        <v>442133</v>
      </c>
      <c r="R90" s="359">
        <v>442133</v>
      </c>
      <c r="S90" s="876"/>
      <c r="T90" s="876"/>
      <c r="U90" s="876"/>
      <c r="V90" s="399"/>
      <c r="W90" s="393"/>
      <c r="X90" s="16"/>
      <c r="Y90" s="16"/>
    </row>
    <row r="91" spans="1:25" s="16" customFormat="1" ht="30">
      <c r="A91" s="236"/>
      <c r="B91" s="841" t="s">
        <v>590</v>
      </c>
      <c r="C91" s="1137" t="s">
        <v>591</v>
      </c>
      <c r="D91" s="26">
        <v>40834</v>
      </c>
      <c r="E91" s="1138" t="s">
        <v>4986</v>
      </c>
      <c r="F91" s="12" t="s">
        <v>4985</v>
      </c>
      <c r="G91" s="14"/>
      <c r="H91" s="26"/>
      <c r="I91" s="14"/>
      <c r="K91" s="14">
        <v>442133</v>
      </c>
      <c r="L91" s="14">
        <v>162944</v>
      </c>
      <c r="M91" s="14">
        <f>SUM(K91:L91)</f>
        <v>605077</v>
      </c>
      <c r="N91" s="14"/>
      <c r="O91" s="1138" t="s">
        <v>587</v>
      </c>
      <c r="P91" s="179"/>
      <c r="Q91" s="359"/>
      <c r="R91" s="359"/>
      <c r="S91" s="924"/>
      <c r="T91" s="924"/>
      <c r="U91" s="924"/>
      <c r="X91" s="16">
        <f t="shared" si="37"/>
        <v>605077</v>
      </c>
      <c r="Y91" s="16">
        <f>X91-M91</f>
        <v>0</v>
      </c>
    </row>
    <row r="92" spans="1:25" s="16" customFormat="1" ht="30">
      <c r="A92" s="236"/>
      <c r="B92" s="358" t="s">
        <v>592</v>
      </c>
      <c r="C92" s="189" t="s">
        <v>593</v>
      </c>
      <c r="D92" s="190">
        <v>40869</v>
      </c>
      <c r="E92" s="1126"/>
      <c r="G92" s="14"/>
      <c r="H92" s="190"/>
      <c r="I92" s="14"/>
      <c r="J92" s="401"/>
      <c r="K92" s="14"/>
      <c r="L92" s="14">
        <v>-162944</v>
      </c>
      <c r="M92" s="14">
        <f>SUM(K92:L92)</f>
        <v>-162944</v>
      </c>
      <c r="N92" s="14"/>
      <c r="O92" s="1138" t="s">
        <v>587</v>
      </c>
      <c r="P92" s="179"/>
      <c r="Q92" s="359"/>
      <c r="R92" s="359"/>
      <c r="S92" s="924"/>
      <c r="T92" s="924"/>
      <c r="U92" s="924"/>
      <c r="X92" s="16">
        <f t="shared" si="37"/>
        <v>-162944</v>
      </c>
      <c r="Y92" s="16">
        <f>X92-M92</f>
        <v>0</v>
      </c>
    </row>
    <row r="93" spans="1:25" s="16" customFormat="1" ht="15">
      <c r="A93" s="236"/>
      <c r="B93" s="829" t="s">
        <v>594</v>
      </c>
      <c r="C93" s="1137"/>
      <c r="D93" s="5"/>
      <c r="E93" s="23"/>
      <c r="F93" s="12"/>
      <c r="G93" s="14"/>
      <c r="H93" s="223"/>
      <c r="J93" s="7">
        <f>SUM(I94:I95)</f>
        <v>0</v>
      </c>
      <c r="K93" s="7">
        <f>SUM(K94)</f>
        <v>0</v>
      </c>
      <c r="L93" s="7">
        <f>SUM(L94)</f>
        <v>162944</v>
      </c>
      <c r="M93" s="7">
        <f>SUM(M94)</f>
        <v>162944</v>
      </c>
      <c r="O93" s="179"/>
      <c r="P93" s="179"/>
      <c r="Q93" s="359"/>
      <c r="R93" s="359"/>
      <c r="S93" s="924"/>
      <c r="T93" s="924"/>
      <c r="U93" s="924"/>
    </row>
    <row r="94" spans="1:25" s="16" customFormat="1" ht="30">
      <c r="A94" s="236"/>
      <c r="B94" s="841" t="s">
        <v>4594</v>
      </c>
      <c r="C94" s="189" t="s">
        <v>595</v>
      </c>
      <c r="D94" s="190">
        <v>40869</v>
      </c>
      <c r="E94" s="1126" t="s">
        <v>4965</v>
      </c>
      <c r="F94" s="212" t="s">
        <v>4987</v>
      </c>
      <c r="G94" s="14"/>
      <c r="H94" s="210"/>
      <c r="J94" s="14"/>
      <c r="K94" s="14"/>
      <c r="L94" s="14">
        <v>162944</v>
      </c>
      <c r="M94" s="14">
        <f>SUM(K94:L94)</f>
        <v>162944</v>
      </c>
      <c r="O94" s="179" t="s">
        <v>587</v>
      </c>
      <c r="P94" s="179"/>
      <c r="Q94" s="359"/>
      <c r="R94" s="359"/>
      <c r="S94" s="924"/>
      <c r="T94" s="924"/>
      <c r="U94" s="924"/>
    </row>
    <row r="95" spans="1:25" s="16" customFormat="1" ht="15">
      <c r="A95" s="236"/>
      <c r="B95" s="1131"/>
      <c r="C95" s="1126"/>
      <c r="D95" s="361"/>
      <c r="E95" s="779"/>
      <c r="F95" s="212"/>
      <c r="G95" s="212"/>
      <c r="H95" s="10"/>
      <c r="I95" s="10"/>
      <c r="J95" s="10"/>
      <c r="K95" s="10"/>
      <c r="L95" s="10"/>
      <c r="M95" s="10"/>
      <c r="N95" s="10"/>
      <c r="O95" s="117"/>
      <c r="P95" s="179"/>
      <c r="Q95" s="93"/>
      <c r="R95" s="93"/>
      <c r="S95" s="876"/>
      <c r="T95" s="876"/>
      <c r="U95" s="876"/>
      <c r="X95" s="16">
        <f t="shared" si="37"/>
        <v>0</v>
      </c>
      <c r="Y95" s="16">
        <f t="shared" ref="Y95:Y128" si="43">X95-M95</f>
        <v>0</v>
      </c>
    </row>
    <row r="96" spans="1:25" s="16" customFormat="1" ht="15">
      <c r="A96" s="1139" t="s">
        <v>4595</v>
      </c>
      <c r="B96" s="339" t="s">
        <v>596</v>
      </c>
      <c r="C96" s="1137"/>
      <c r="D96" s="5"/>
      <c r="E96" s="780"/>
      <c r="F96" s="12"/>
      <c r="G96" s="14"/>
      <c r="H96" s="6"/>
      <c r="I96" s="939">
        <v>11200</v>
      </c>
      <c r="J96" s="941">
        <f>SUM(J97:J99)</f>
        <v>0</v>
      </c>
      <c r="K96" s="941">
        <f>SUM(K97:K99)</f>
        <v>3200</v>
      </c>
      <c r="L96" s="941">
        <f>SUM(L97:L99)</f>
        <v>8000</v>
      </c>
      <c r="M96" s="941">
        <f>SUM(M97:M99)</f>
        <v>11200</v>
      </c>
      <c r="N96" s="366"/>
      <c r="O96" s="775"/>
      <c r="P96" s="43" t="s">
        <v>102</v>
      </c>
      <c r="Q96" s="941">
        <f>SUM(Q97:Q99)</f>
        <v>11200</v>
      </c>
      <c r="R96" s="941">
        <f>SUM(R97:R99)</f>
        <v>11200</v>
      </c>
      <c r="S96" s="876"/>
      <c r="T96" s="876"/>
      <c r="U96" s="876"/>
      <c r="X96" s="16">
        <f t="shared" si="37"/>
        <v>11200</v>
      </c>
      <c r="Y96" s="16">
        <f t="shared" si="43"/>
        <v>0</v>
      </c>
    </row>
    <row r="97" spans="1:25" s="16" customFormat="1" ht="70.5" customHeight="1">
      <c r="A97" s="236"/>
      <c r="B97" s="841" t="s">
        <v>4596</v>
      </c>
      <c r="C97" s="180" t="s">
        <v>598</v>
      </c>
      <c r="D97" s="26">
        <v>40830</v>
      </c>
      <c r="E97" s="1137" t="s">
        <v>4963</v>
      </c>
      <c r="F97" s="12" t="s">
        <v>4988</v>
      </c>
      <c r="G97" s="14"/>
      <c r="H97" s="10">
        <v>47764</v>
      </c>
      <c r="I97" s="10"/>
      <c r="J97" s="14"/>
      <c r="K97" s="14">
        <v>1200</v>
      </c>
      <c r="L97" s="14">
        <v>3000</v>
      </c>
      <c r="M97" s="14">
        <f>SUM(K97:L97)</f>
        <v>4200</v>
      </c>
      <c r="N97" s="10">
        <f>M97+H97</f>
        <v>51964</v>
      </c>
      <c r="O97" s="1136"/>
      <c r="P97" s="32" t="s">
        <v>102</v>
      </c>
      <c r="Q97" s="93">
        <f>3380+815+5</f>
        <v>4200</v>
      </c>
      <c r="R97" s="93">
        <v>4200</v>
      </c>
      <c r="S97" s="1343" t="s">
        <v>4626</v>
      </c>
      <c r="T97" s="1343"/>
      <c r="U97" s="1343"/>
      <c r="W97" s="14" t="s">
        <v>597</v>
      </c>
      <c r="X97" s="16">
        <f t="shared" si="37"/>
        <v>4200</v>
      </c>
      <c r="Y97" s="16">
        <f t="shared" si="43"/>
        <v>0</v>
      </c>
    </row>
    <row r="98" spans="1:25" s="16" customFormat="1" ht="34.5" customHeight="1">
      <c r="A98" s="236"/>
      <c r="B98" s="841" t="s">
        <v>4597</v>
      </c>
      <c r="C98" s="372" t="s">
        <v>599</v>
      </c>
      <c r="D98" s="190">
        <v>40830</v>
      </c>
      <c r="E98" s="1126" t="s">
        <v>4963</v>
      </c>
      <c r="F98" s="12" t="s">
        <v>4989</v>
      </c>
      <c r="G98" s="98"/>
      <c r="H98" s="10">
        <v>372112</v>
      </c>
      <c r="I98" s="10"/>
      <c r="J98" s="79"/>
      <c r="K98" s="14">
        <v>2000</v>
      </c>
      <c r="L98" s="14">
        <v>5000</v>
      </c>
      <c r="M98" s="14">
        <f>SUM(K98:L98)</f>
        <v>7000</v>
      </c>
      <c r="N98" s="10">
        <f>M98+H98</f>
        <v>379112</v>
      </c>
      <c r="O98" s="1136"/>
      <c r="P98" s="32" t="s">
        <v>102</v>
      </c>
      <c r="Q98" s="93">
        <v>7000</v>
      </c>
      <c r="R98" s="93">
        <v>7000</v>
      </c>
      <c r="S98" s="1343" t="s">
        <v>4627</v>
      </c>
      <c r="T98" s="1343"/>
      <c r="U98" s="1343"/>
      <c r="W98" s="14" t="s">
        <v>597</v>
      </c>
      <c r="X98" s="16">
        <f t="shared" si="37"/>
        <v>7000</v>
      </c>
      <c r="Y98" s="16">
        <f t="shared" si="43"/>
        <v>0</v>
      </c>
    </row>
    <row r="99" spans="1:25" s="16" customFormat="1" ht="115.5" customHeight="1">
      <c r="A99" s="236"/>
      <c r="B99" s="358"/>
      <c r="C99" s="372"/>
      <c r="D99" s="190"/>
      <c r="E99" s="1126"/>
      <c r="F99" s="12"/>
      <c r="G99" s="98"/>
      <c r="H99" s="10"/>
      <c r="I99" s="10"/>
      <c r="J99" s="79"/>
      <c r="K99" s="14"/>
      <c r="L99" s="14"/>
      <c r="M99" s="14"/>
      <c r="N99" s="10"/>
      <c r="O99" s="1136"/>
      <c r="P99" s="1137"/>
      <c r="Q99" s="93"/>
      <c r="R99" s="93"/>
      <c r="S99" s="1345" t="s">
        <v>4628</v>
      </c>
      <c r="T99" s="1345"/>
      <c r="U99" s="1345"/>
      <c r="V99" s="402"/>
      <c r="W99" s="14" t="s">
        <v>600</v>
      </c>
      <c r="X99" s="16">
        <f t="shared" si="37"/>
        <v>0</v>
      </c>
      <c r="Y99" s="16">
        <f t="shared" si="43"/>
        <v>0</v>
      </c>
    </row>
    <row r="100" spans="1:25" s="30" customFormat="1" ht="15">
      <c r="A100" s="112"/>
      <c r="B100" s="358"/>
      <c r="C100" s="189"/>
      <c r="D100" s="190"/>
      <c r="E100" s="1126"/>
      <c r="F100" s="12"/>
      <c r="G100" s="1103"/>
      <c r="H100" s="10"/>
      <c r="I100" s="10"/>
      <c r="J100" s="79"/>
      <c r="K100" s="14"/>
      <c r="L100" s="14"/>
      <c r="M100" s="14"/>
      <c r="N100" s="10"/>
      <c r="O100" s="155"/>
      <c r="P100" s="43"/>
      <c r="Q100" s="351"/>
      <c r="R100" s="351"/>
      <c r="S100" s="898"/>
      <c r="T100" s="898"/>
      <c r="U100" s="898"/>
      <c r="V100" s="117" t="s">
        <v>103</v>
      </c>
      <c r="X100" s="16">
        <f t="shared" si="37"/>
        <v>0</v>
      </c>
      <c r="Y100" s="16">
        <f t="shared" si="43"/>
        <v>0</v>
      </c>
    </row>
    <row r="101" spans="1:25" s="30" customFormat="1" ht="15">
      <c r="A101" s="1139" t="s">
        <v>4598</v>
      </c>
      <c r="B101" s="1125" t="s">
        <v>601</v>
      </c>
      <c r="C101" s="43"/>
      <c r="D101" s="718"/>
      <c r="E101" s="77"/>
      <c r="H101" s="1152"/>
      <c r="I101" s="1153">
        <v>25000</v>
      </c>
      <c r="J101" s="882">
        <f>J102</f>
        <v>0</v>
      </c>
      <c r="K101" s="882">
        <f t="shared" ref="K101:M101" si="44">K102</f>
        <v>0</v>
      </c>
      <c r="L101" s="882">
        <f t="shared" si="44"/>
        <v>25000</v>
      </c>
      <c r="M101" s="882">
        <f t="shared" si="44"/>
        <v>25000</v>
      </c>
      <c r="N101" s="1152"/>
      <c r="O101" s="117"/>
      <c r="P101" s="32" t="s">
        <v>102</v>
      </c>
      <c r="Q101" s="882">
        <f t="shared" ref="Q101:R101" si="45">Q102</f>
        <v>25000</v>
      </c>
      <c r="R101" s="882">
        <f t="shared" si="45"/>
        <v>25000</v>
      </c>
      <c r="S101" s="876"/>
      <c r="T101" s="876"/>
      <c r="U101" s="876"/>
      <c r="V101" s="32"/>
      <c r="X101" s="16">
        <f t="shared" si="37"/>
        <v>25000</v>
      </c>
      <c r="Y101" s="16">
        <f t="shared" si="43"/>
        <v>0</v>
      </c>
    </row>
    <row r="102" spans="1:25" s="30" customFormat="1" ht="45">
      <c r="A102" s="112"/>
      <c r="B102" s="829" t="s">
        <v>128</v>
      </c>
      <c r="C102" s="1137" t="s">
        <v>603</v>
      </c>
      <c r="D102" s="13">
        <v>40843</v>
      </c>
      <c r="E102" s="779" t="s">
        <v>5794</v>
      </c>
      <c r="F102" s="1129" t="s">
        <v>5793</v>
      </c>
      <c r="G102" s="14"/>
      <c r="H102" s="6">
        <v>27597</v>
      </c>
      <c r="I102" s="6"/>
      <c r="J102" s="14"/>
      <c r="K102" s="14"/>
      <c r="L102" s="14">
        <v>25000</v>
      </c>
      <c r="M102" s="14">
        <f>SUM(K102:L102)</f>
        <v>25000</v>
      </c>
      <c r="N102" s="6">
        <f>M102+H102</f>
        <v>52597</v>
      </c>
      <c r="O102" s="117"/>
      <c r="P102" s="32"/>
      <c r="Q102" s="93">
        <v>25000</v>
      </c>
      <c r="R102" s="93">
        <v>25000</v>
      </c>
      <c r="S102" s="1343" t="s">
        <v>6050</v>
      </c>
      <c r="T102" s="1343"/>
      <c r="U102" s="1343"/>
      <c r="V102" s="32"/>
      <c r="W102" s="31" t="s">
        <v>602</v>
      </c>
      <c r="X102" s="16">
        <f t="shared" si="37"/>
        <v>25000</v>
      </c>
      <c r="Y102" s="16">
        <f t="shared" si="43"/>
        <v>0</v>
      </c>
    </row>
    <row r="103" spans="1:25" s="9" customFormat="1" ht="15">
      <c r="A103" s="697"/>
      <c r="B103" s="227"/>
      <c r="C103" s="1137"/>
      <c r="D103" s="13"/>
      <c r="E103" s="77"/>
      <c r="F103" s="1129"/>
      <c r="G103" s="14"/>
      <c r="H103" s="6"/>
      <c r="I103" s="6"/>
      <c r="J103" s="14"/>
      <c r="K103" s="14"/>
      <c r="L103" s="14"/>
      <c r="M103" s="14"/>
      <c r="N103" s="6"/>
      <c r="O103" s="117"/>
      <c r="P103" s="8"/>
      <c r="Q103" s="93"/>
      <c r="R103" s="93"/>
      <c r="S103" s="876"/>
      <c r="T103" s="876"/>
      <c r="U103" s="876"/>
      <c r="X103" s="16">
        <f t="shared" si="37"/>
        <v>0</v>
      </c>
      <c r="Y103" s="16">
        <f t="shared" si="43"/>
        <v>0</v>
      </c>
    </row>
    <row r="104" spans="1:25" s="16" customFormat="1" ht="20.25" customHeight="1">
      <c r="A104" s="1139" t="s">
        <v>4599</v>
      </c>
      <c r="B104" s="1125" t="s">
        <v>4600</v>
      </c>
      <c r="C104" s="1140"/>
      <c r="D104" s="5"/>
      <c r="E104" s="1137"/>
      <c r="F104" s="393"/>
      <c r="G104" s="187"/>
      <c r="H104" s="6"/>
      <c r="I104" s="383">
        <v>1819000</v>
      </c>
      <c r="J104" s="384">
        <f>SUM(J105:J106)</f>
        <v>0</v>
      </c>
      <c r="K104" s="384">
        <f>SUM(K105:K106)</f>
        <v>1819000</v>
      </c>
      <c r="L104" s="384">
        <f>SUM(L105:L106)</f>
        <v>0</v>
      </c>
      <c r="M104" s="384">
        <f>SUM(M105:M106)</f>
        <v>1819000</v>
      </c>
      <c r="N104" s="6"/>
      <c r="O104" s="1136"/>
      <c r="P104" s="32" t="s">
        <v>102</v>
      </c>
      <c r="Q104" s="384">
        <f>SUM(Q105:Q106)</f>
        <v>0</v>
      </c>
      <c r="R104" s="384">
        <f>SUM(R105:R106)</f>
        <v>0</v>
      </c>
      <c r="S104" s="876"/>
      <c r="T104" s="876"/>
      <c r="U104" s="876"/>
      <c r="V104" s="14" t="s">
        <v>517</v>
      </c>
      <c r="X104" s="16">
        <f t="shared" si="37"/>
        <v>1819000</v>
      </c>
      <c r="Y104" s="16">
        <f t="shared" si="43"/>
        <v>0</v>
      </c>
    </row>
    <row r="105" spans="1:25" s="16" customFormat="1" ht="75">
      <c r="A105" s="236"/>
      <c r="B105" s="829" t="s">
        <v>605</v>
      </c>
      <c r="C105" s="1137" t="s">
        <v>606</v>
      </c>
      <c r="D105" s="26">
        <v>40834</v>
      </c>
      <c r="E105" s="1126" t="s">
        <v>4980</v>
      </c>
      <c r="F105" s="12" t="s">
        <v>4990</v>
      </c>
      <c r="G105" s="14"/>
      <c r="H105" s="14">
        <v>235880</v>
      </c>
      <c r="I105" s="14"/>
      <c r="J105" s="14"/>
      <c r="K105" s="14">
        <v>1819000</v>
      </c>
      <c r="L105" s="14"/>
      <c r="M105" s="14">
        <f>SUM(K105:L105)</f>
        <v>1819000</v>
      </c>
      <c r="N105" s="10">
        <f>M105+H105</f>
        <v>2054880</v>
      </c>
      <c r="O105" s="1136"/>
      <c r="P105" s="1137"/>
      <c r="Q105" s="93"/>
      <c r="R105" s="93"/>
      <c r="S105" s="876"/>
      <c r="T105" s="876"/>
      <c r="U105" s="876"/>
      <c r="V105" s="14"/>
      <c r="W105" s="14" t="s">
        <v>604</v>
      </c>
      <c r="X105" s="16">
        <f t="shared" si="37"/>
        <v>1819000</v>
      </c>
      <c r="Y105" s="16">
        <f t="shared" si="43"/>
        <v>0</v>
      </c>
    </row>
    <row r="106" spans="1:25" s="9" customFormat="1" ht="17.25" customHeight="1">
      <c r="A106" s="697"/>
      <c r="B106" s="10"/>
      <c r="C106" s="1137"/>
      <c r="D106" s="26"/>
      <c r="E106" s="1137"/>
      <c r="F106" s="12"/>
      <c r="G106" s="14"/>
      <c r="H106" s="14"/>
      <c r="I106" s="14"/>
      <c r="J106" s="14"/>
      <c r="K106" s="14"/>
      <c r="L106" s="14"/>
      <c r="M106" s="14"/>
      <c r="N106" s="10"/>
      <c r="O106" s="117"/>
      <c r="P106" s="1140"/>
      <c r="Q106" s="93"/>
      <c r="R106" s="93"/>
      <c r="S106" s="876"/>
      <c r="T106" s="876"/>
      <c r="U106" s="876"/>
      <c r="V106" s="187"/>
      <c r="W106" s="187"/>
      <c r="X106" s="16">
        <f t="shared" si="37"/>
        <v>0</v>
      </c>
      <c r="Y106" s="16">
        <f t="shared" si="43"/>
        <v>0</v>
      </c>
    </row>
    <row r="107" spans="1:25" s="16" customFormat="1" ht="15">
      <c r="A107" s="236"/>
      <c r="B107" s="1125" t="s">
        <v>25</v>
      </c>
      <c r="C107" s="1140"/>
      <c r="D107" s="5"/>
      <c r="E107" s="1137"/>
      <c r="F107" s="393"/>
      <c r="G107" s="187"/>
      <c r="H107" s="187"/>
      <c r="I107" s="383">
        <v>425000</v>
      </c>
      <c r="J107" s="384">
        <f>J108</f>
        <v>0</v>
      </c>
      <c r="K107" s="384">
        <f t="shared" ref="K107:M107" si="46">K108</f>
        <v>0</v>
      </c>
      <c r="L107" s="384">
        <f t="shared" si="46"/>
        <v>425000</v>
      </c>
      <c r="M107" s="384">
        <f t="shared" si="46"/>
        <v>425000</v>
      </c>
      <c r="N107" s="6"/>
      <c r="O107" s="117"/>
      <c r="P107" s="1137"/>
      <c r="Q107" s="384">
        <f t="shared" ref="Q107:R107" si="47">Q108</f>
        <v>275000</v>
      </c>
      <c r="R107" s="384">
        <f t="shared" si="47"/>
        <v>275000</v>
      </c>
      <c r="S107" s="876"/>
      <c r="T107" s="876"/>
      <c r="U107" s="876"/>
      <c r="V107" s="1137"/>
      <c r="W107" s="14"/>
      <c r="X107" s="16">
        <f t="shared" si="37"/>
        <v>425000</v>
      </c>
      <c r="Y107" s="16">
        <f t="shared" si="43"/>
        <v>0</v>
      </c>
    </row>
    <row r="108" spans="1:25" s="16" customFormat="1" ht="15">
      <c r="A108" s="236"/>
      <c r="B108" s="6" t="s">
        <v>607</v>
      </c>
      <c r="C108" s="1137"/>
      <c r="D108" s="26"/>
      <c r="E108" s="1137"/>
      <c r="F108" s="12"/>
      <c r="G108" s="14"/>
      <c r="H108" s="6"/>
      <c r="J108" s="7">
        <f>SUM(J109:J110)</f>
        <v>0</v>
      </c>
      <c r="K108" s="7">
        <f>SUM(K109:K110)</f>
        <v>0</v>
      </c>
      <c r="L108" s="7">
        <f>SUM(L109:L110)</f>
        <v>425000</v>
      </c>
      <c r="M108" s="7">
        <f>SUM(M109:M110)</f>
        <v>425000</v>
      </c>
      <c r="N108" s="6"/>
      <c r="O108" s="1136"/>
      <c r="P108" s="1137" t="s">
        <v>4471</v>
      </c>
      <c r="Q108" s="7">
        <f>SUM(Q109:Q110)</f>
        <v>275000</v>
      </c>
      <c r="R108" s="7">
        <f>SUM(R109:R110)</f>
        <v>275000</v>
      </c>
      <c r="S108" s="876"/>
      <c r="T108" s="876"/>
      <c r="U108" s="876"/>
      <c r="V108" s="1137" t="s">
        <v>517</v>
      </c>
      <c r="X108" s="16">
        <f t="shared" si="37"/>
        <v>425000</v>
      </c>
      <c r="Y108" s="16">
        <f t="shared" si="43"/>
        <v>0</v>
      </c>
    </row>
    <row r="109" spans="1:25" s="16" customFormat="1" ht="88.5" customHeight="1">
      <c r="A109" s="1139" t="s">
        <v>4601</v>
      </c>
      <c r="B109" s="842" t="s">
        <v>609</v>
      </c>
      <c r="C109" s="1137" t="s">
        <v>611</v>
      </c>
      <c r="D109" s="13">
        <v>40834</v>
      </c>
      <c r="E109" s="1138" t="s">
        <v>4992</v>
      </c>
      <c r="F109" s="12" t="s">
        <v>4991</v>
      </c>
      <c r="G109" s="12" t="s">
        <v>610</v>
      </c>
      <c r="H109" s="10">
        <v>5002</v>
      </c>
      <c r="I109" s="10"/>
      <c r="J109" s="14"/>
      <c r="K109" s="14"/>
      <c r="L109" s="14">
        <v>275000</v>
      </c>
      <c r="M109" s="14">
        <f>SUM(J109:L109)</f>
        <v>275000</v>
      </c>
      <c r="N109" s="10">
        <f>H109+M109</f>
        <v>280002</v>
      </c>
      <c r="O109" s="1136"/>
      <c r="P109" s="1137" t="s">
        <v>4471</v>
      </c>
      <c r="Q109" s="93">
        <v>275000</v>
      </c>
      <c r="R109" s="93">
        <v>275000</v>
      </c>
      <c r="S109" s="1335" t="s">
        <v>612</v>
      </c>
      <c r="T109" s="1335"/>
      <c r="U109" s="1335"/>
      <c r="V109" s="1137" t="s">
        <v>517</v>
      </c>
      <c r="W109" s="14" t="s">
        <v>608</v>
      </c>
      <c r="X109" s="16">
        <f t="shared" si="37"/>
        <v>275000</v>
      </c>
      <c r="Y109" s="16">
        <f t="shared" si="43"/>
        <v>0</v>
      </c>
    </row>
    <row r="110" spans="1:25" s="16" customFormat="1" ht="56.25" customHeight="1">
      <c r="A110" s="1139" t="s">
        <v>4602</v>
      </c>
      <c r="B110" s="842" t="s">
        <v>614</v>
      </c>
      <c r="C110" s="1137" t="s">
        <v>611</v>
      </c>
      <c r="D110" s="13">
        <v>40834</v>
      </c>
      <c r="E110" s="1138" t="s">
        <v>4994</v>
      </c>
      <c r="F110" s="12" t="s">
        <v>4993</v>
      </c>
      <c r="G110" s="14" t="s">
        <v>615</v>
      </c>
      <c r="H110" s="10">
        <v>46483</v>
      </c>
      <c r="I110" s="10"/>
      <c r="J110" s="14"/>
      <c r="K110" s="14"/>
      <c r="L110" s="14">
        <v>150000</v>
      </c>
      <c r="M110" s="14">
        <f>SUM(J110:L110)</f>
        <v>150000</v>
      </c>
      <c r="N110" s="10">
        <f>H110+M110</f>
        <v>196483</v>
      </c>
      <c r="O110" s="1136"/>
      <c r="P110" s="1137"/>
      <c r="Q110" s="93"/>
      <c r="R110" s="93"/>
      <c r="S110" s="1335" t="s">
        <v>616</v>
      </c>
      <c r="T110" s="1335"/>
      <c r="U110" s="1335"/>
      <c r="V110" s="1137"/>
      <c r="W110" s="14" t="s">
        <v>613</v>
      </c>
      <c r="X110" s="16">
        <f t="shared" si="37"/>
        <v>150000</v>
      </c>
      <c r="Y110" s="16">
        <f t="shared" si="43"/>
        <v>0</v>
      </c>
    </row>
    <row r="111" spans="1:25" s="39" customFormat="1" ht="41.25" customHeight="1">
      <c r="B111" s="841"/>
      <c r="C111" s="1137"/>
      <c r="D111" s="13"/>
      <c r="E111" s="1138"/>
      <c r="F111" s="12"/>
      <c r="G111" s="14"/>
      <c r="H111" s="10"/>
      <c r="I111" s="10"/>
      <c r="J111" s="14"/>
      <c r="K111" s="14"/>
      <c r="L111" s="14"/>
      <c r="M111" s="14"/>
      <c r="N111" s="10"/>
      <c r="O111" s="117"/>
      <c r="P111" s="1137"/>
      <c r="Q111" s="93"/>
      <c r="R111" s="93"/>
      <c r="S111" s="1335" t="s">
        <v>617</v>
      </c>
      <c r="T111" s="1335"/>
      <c r="U111" s="1335"/>
      <c r="V111" s="14"/>
      <c r="W111" s="14"/>
      <c r="X111" s="16">
        <f t="shared" si="37"/>
        <v>0</v>
      </c>
      <c r="Y111" s="16">
        <f t="shared" si="43"/>
        <v>0</v>
      </c>
    </row>
    <row r="112" spans="1:25" s="39" customFormat="1" ht="15.75" customHeight="1">
      <c r="B112" s="841"/>
      <c r="C112" s="1137"/>
      <c r="D112" s="13"/>
      <c r="E112" s="1138"/>
      <c r="F112" s="12"/>
      <c r="G112" s="14"/>
      <c r="H112" s="10"/>
      <c r="I112" s="10"/>
      <c r="J112" s="14"/>
      <c r="K112" s="14"/>
      <c r="L112" s="14"/>
      <c r="M112" s="14"/>
      <c r="N112" s="10"/>
      <c r="O112" s="117"/>
      <c r="P112" s="1137"/>
      <c r="Q112" s="93"/>
      <c r="R112" s="93"/>
      <c r="S112" s="1121"/>
      <c r="T112" s="1121"/>
      <c r="U112" s="1121"/>
      <c r="V112" s="14"/>
      <c r="W112" s="14"/>
      <c r="X112" s="16"/>
      <c r="Y112" s="16"/>
    </row>
    <row r="113" spans="1:25" s="39" customFormat="1" ht="16.5" customHeight="1">
      <c r="B113" s="1125" t="s">
        <v>34</v>
      </c>
      <c r="C113" s="1137"/>
      <c r="D113" s="5"/>
      <c r="E113" s="23"/>
      <c r="F113" s="12"/>
      <c r="G113" s="14"/>
      <c r="H113" s="6"/>
      <c r="I113" s="383">
        <v>2799611</v>
      </c>
      <c r="J113" s="384">
        <f>J114</f>
        <v>0</v>
      </c>
      <c r="K113" s="384">
        <f t="shared" ref="K113:N113" si="48">K114</f>
        <v>2799611</v>
      </c>
      <c r="L113" s="384">
        <f t="shared" si="48"/>
        <v>0</v>
      </c>
      <c r="M113" s="384">
        <f t="shared" si="48"/>
        <v>2799611</v>
      </c>
      <c r="N113" s="7">
        <f t="shared" si="48"/>
        <v>2864959</v>
      </c>
      <c r="O113" s="1137"/>
      <c r="P113" s="32" t="s">
        <v>102</v>
      </c>
      <c r="Q113" s="384">
        <f t="shared" ref="Q113:R113" si="49">Q114</f>
        <v>2799611</v>
      </c>
      <c r="R113" s="384">
        <f t="shared" si="49"/>
        <v>2799611</v>
      </c>
      <c r="S113" s="403"/>
      <c r="T113" s="403"/>
      <c r="U113" s="403"/>
      <c r="V113" s="14" t="s">
        <v>517</v>
      </c>
      <c r="W113" s="14" t="s">
        <v>33</v>
      </c>
      <c r="X113" s="16">
        <f t="shared" si="37"/>
        <v>2799611</v>
      </c>
      <c r="Y113" s="16">
        <f t="shared" si="43"/>
        <v>0</v>
      </c>
    </row>
    <row r="114" spans="1:25" s="39" customFormat="1" ht="90">
      <c r="A114" s="1139" t="s">
        <v>4603</v>
      </c>
      <c r="B114" s="842" t="s">
        <v>618</v>
      </c>
      <c r="C114" s="1137" t="s">
        <v>619</v>
      </c>
      <c r="D114" s="26">
        <v>40834</v>
      </c>
      <c r="E114" s="1137" t="s">
        <v>4996</v>
      </c>
      <c r="F114" s="12" t="s">
        <v>4995</v>
      </c>
      <c r="G114" s="14"/>
      <c r="H114" s="65">
        <v>65348</v>
      </c>
      <c r="I114" s="65"/>
      <c r="J114" s="14"/>
      <c r="K114" s="14">
        <v>2799611</v>
      </c>
      <c r="L114" s="14"/>
      <c r="M114" s="22">
        <f>SUM(K114:L114)</f>
        <v>2799611</v>
      </c>
      <c r="N114" s="14">
        <f>M114+H114</f>
        <v>2864959</v>
      </c>
      <c r="O114" s="1137"/>
      <c r="P114" s="1137"/>
      <c r="Q114" s="216">
        <f>2799611</f>
        <v>2799611</v>
      </c>
      <c r="R114" s="216">
        <v>2799611</v>
      </c>
      <c r="S114" s="403"/>
      <c r="T114" s="403"/>
      <c r="U114" s="403"/>
      <c r="V114" s="14"/>
      <c r="W114" s="14"/>
      <c r="X114" s="16">
        <f t="shared" si="37"/>
        <v>2799611</v>
      </c>
      <c r="Y114" s="16">
        <f t="shared" si="43"/>
        <v>0</v>
      </c>
    </row>
    <row r="115" spans="1:25" s="39" customFormat="1" ht="16.5" customHeight="1">
      <c r="B115" s="837"/>
      <c r="C115" s="1137"/>
      <c r="D115" s="26"/>
      <c r="E115" s="1137"/>
      <c r="F115" s="12"/>
      <c r="G115" s="14"/>
      <c r="H115" s="65"/>
      <c r="I115" s="65"/>
      <c r="J115" s="14"/>
      <c r="K115" s="14"/>
      <c r="L115" s="14"/>
      <c r="M115" s="22"/>
      <c r="N115" s="14"/>
      <c r="O115" s="1137"/>
      <c r="P115" s="1137"/>
      <c r="Q115" s="216"/>
      <c r="R115" s="216"/>
      <c r="S115" s="403"/>
      <c r="T115" s="403"/>
      <c r="U115" s="403"/>
      <c r="V115" s="14"/>
      <c r="W115" s="14"/>
      <c r="X115" s="16">
        <f t="shared" si="37"/>
        <v>0</v>
      </c>
      <c r="Y115" s="16">
        <f t="shared" si="43"/>
        <v>0</v>
      </c>
    </row>
    <row r="116" spans="1:25" s="16" customFormat="1" ht="15">
      <c r="A116" s="236"/>
      <c r="B116" s="1125" t="s">
        <v>620</v>
      </c>
      <c r="C116" s="1137"/>
      <c r="D116" s="26"/>
      <c r="E116" s="1137"/>
      <c r="F116" s="12"/>
      <c r="G116" s="14"/>
      <c r="H116" s="65"/>
      <c r="I116" s="65"/>
      <c r="J116" s="14"/>
      <c r="K116" s="14"/>
      <c r="L116" s="14"/>
      <c r="M116" s="22"/>
      <c r="N116" s="14"/>
      <c r="O116" s="117"/>
      <c r="P116" s="32"/>
      <c r="Q116" s="93"/>
      <c r="R116" s="93"/>
      <c r="S116" s="876"/>
      <c r="T116" s="876"/>
      <c r="U116" s="876"/>
      <c r="V116" s="8"/>
      <c r="W116" s="31"/>
      <c r="X116" s="16">
        <f t="shared" si="37"/>
        <v>0</v>
      </c>
      <c r="Y116" s="16">
        <f t="shared" si="43"/>
        <v>0</v>
      </c>
    </row>
    <row r="117" spans="1:25" s="16" customFormat="1" ht="15">
      <c r="A117" s="236"/>
      <c r="B117" s="339" t="s">
        <v>621</v>
      </c>
      <c r="C117" s="1137"/>
      <c r="D117" s="13"/>
      <c r="E117" s="1137"/>
      <c r="F117" s="393"/>
      <c r="G117" s="12"/>
      <c r="H117" s="6">
        <v>49517</v>
      </c>
      <c r="I117" s="383">
        <v>20000</v>
      </c>
      <c r="J117" s="384">
        <f>J118+J119</f>
        <v>0</v>
      </c>
      <c r="K117" s="384">
        <f t="shared" ref="K117:M117" si="50">K118+K119</f>
        <v>14042</v>
      </c>
      <c r="L117" s="384">
        <f t="shared" si="50"/>
        <v>5958</v>
      </c>
      <c r="M117" s="384">
        <f t="shared" si="50"/>
        <v>20000</v>
      </c>
      <c r="N117" s="6">
        <f>M117+H117</f>
        <v>69517</v>
      </c>
      <c r="O117" s="1136"/>
      <c r="P117" s="1137" t="s">
        <v>4471</v>
      </c>
      <c r="Q117" s="384">
        <f t="shared" ref="Q117:R117" si="51">Q118+Q119</f>
        <v>20000</v>
      </c>
      <c r="R117" s="384">
        <f t="shared" si="51"/>
        <v>20000</v>
      </c>
      <c r="S117" s="876"/>
      <c r="T117" s="876"/>
      <c r="U117" s="876"/>
      <c r="V117" s="8"/>
      <c r="X117" s="16">
        <f t="shared" si="37"/>
        <v>20000</v>
      </c>
      <c r="Y117" s="16">
        <f t="shared" si="43"/>
        <v>0</v>
      </c>
    </row>
    <row r="118" spans="1:25" s="16" customFormat="1" ht="75">
      <c r="A118" s="1139" t="s">
        <v>4604</v>
      </c>
      <c r="B118" s="842" t="s">
        <v>624</v>
      </c>
      <c r="C118" s="1137" t="s">
        <v>625</v>
      </c>
      <c r="D118" s="13">
        <v>40834</v>
      </c>
      <c r="E118" s="1138" t="s">
        <v>6573</v>
      </c>
      <c r="F118" s="402" t="s">
        <v>6574</v>
      </c>
      <c r="G118" s="12"/>
      <c r="H118" s="405"/>
      <c r="I118" s="405"/>
      <c r="J118" s="14"/>
      <c r="K118" s="14">
        <v>20000</v>
      </c>
      <c r="L118" s="14"/>
      <c r="M118" s="14">
        <f>SUM(J118:L118)</f>
        <v>20000</v>
      </c>
      <c r="N118" s="10"/>
      <c r="O118" s="1136"/>
      <c r="P118" s="1137" t="s">
        <v>4471</v>
      </c>
      <c r="Q118" s="93"/>
      <c r="R118" s="93"/>
      <c r="S118" s="876"/>
      <c r="T118" s="876"/>
      <c r="U118" s="876"/>
      <c r="V118" s="8"/>
      <c r="W118" s="404" t="s">
        <v>623</v>
      </c>
      <c r="X118" s="16">
        <f t="shared" si="37"/>
        <v>20000</v>
      </c>
      <c r="Y118" s="16">
        <f t="shared" si="43"/>
        <v>0</v>
      </c>
    </row>
    <row r="119" spans="1:25" s="16" customFormat="1" ht="260.25" customHeight="1">
      <c r="A119" s="236"/>
      <c r="B119" s="842" t="s">
        <v>626</v>
      </c>
      <c r="C119" s="1137" t="s">
        <v>627</v>
      </c>
      <c r="D119" s="13">
        <v>40871</v>
      </c>
      <c r="E119" s="1138" t="s">
        <v>6573</v>
      </c>
      <c r="F119" s="1149" t="s">
        <v>6574</v>
      </c>
      <c r="G119" s="12"/>
      <c r="H119" s="405"/>
      <c r="I119" s="405"/>
      <c r="J119" s="14"/>
      <c r="K119" s="14">
        <v>-5958</v>
      </c>
      <c r="L119" s="14">
        <v>5958</v>
      </c>
      <c r="M119" s="14">
        <f>SUM(J119:L119)</f>
        <v>0</v>
      </c>
      <c r="N119" s="10"/>
      <c r="O119" s="1136"/>
      <c r="P119" s="770"/>
      <c r="Q119" s="93">
        <v>20000</v>
      </c>
      <c r="R119" s="93">
        <v>20000</v>
      </c>
      <c r="S119" s="1345" t="s">
        <v>6049</v>
      </c>
      <c r="T119" s="1345"/>
      <c r="U119" s="1345"/>
      <c r="V119" s="8"/>
      <c r="W119" s="404" t="s">
        <v>623</v>
      </c>
      <c r="X119" s="16">
        <f t="shared" si="37"/>
        <v>0</v>
      </c>
      <c r="Y119" s="16">
        <f t="shared" si="43"/>
        <v>0</v>
      </c>
    </row>
    <row r="120" spans="1:25" s="16" customFormat="1" ht="15">
      <c r="A120" s="236"/>
      <c r="B120" s="842"/>
      <c r="C120" s="1137"/>
      <c r="D120" s="13"/>
      <c r="E120" s="1137"/>
      <c r="F120" s="12"/>
      <c r="G120" s="12"/>
      <c r="H120" s="405"/>
      <c r="I120" s="405"/>
      <c r="J120" s="14"/>
      <c r="K120" s="14"/>
      <c r="L120" s="14"/>
      <c r="M120" s="14"/>
      <c r="N120" s="10"/>
      <c r="O120" s="1136"/>
      <c r="P120" s="770"/>
      <c r="Q120" s="93"/>
      <c r="R120" s="93"/>
      <c r="S120" s="876"/>
      <c r="T120" s="876"/>
      <c r="U120" s="876"/>
      <c r="V120" s="8"/>
      <c r="W120" s="404"/>
    </row>
    <row r="121" spans="1:25" s="9" customFormat="1" ht="33" customHeight="1">
      <c r="A121" s="937" t="s">
        <v>4605</v>
      </c>
      <c r="B121" s="910" t="s">
        <v>630</v>
      </c>
      <c r="C121" s="1137"/>
      <c r="D121" s="13"/>
      <c r="E121" s="1137"/>
      <c r="F121" s="17"/>
      <c r="G121" s="12"/>
      <c r="H121" s="405"/>
      <c r="I121" s="939">
        <v>5500000</v>
      </c>
      <c r="J121" s="941">
        <f>J123+J124+J126+J127+J190</f>
        <v>0</v>
      </c>
      <c r="K121" s="941">
        <f>K123+K124+K126+K127+K190</f>
        <v>0</v>
      </c>
      <c r="L121" s="941">
        <f>L123+L124+L126+L127+L190</f>
        <v>5500000</v>
      </c>
      <c r="M121" s="941">
        <f>M123+M124+M126+M127+M190</f>
        <v>5500000</v>
      </c>
      <c r="N121" s="388"/>
      <c r="O121" s="810"/>
      <c r="P121" s="942"/>
      <c r="Q121" s="941">
        <f>Q123+Q124+Q126+Q127+Q190</f>
        <v>0</v>
      </c>
      <c r="R121" s="941">
        <f>R123+R124+R126+R127+R190</f>
        <v>0</v>
      </c>
      <c r="S121" s="1359" t="s">
        <v>4540</v>
      </c>
      <c r="T121" s="1359"/>
      <c r="U121" s="1359"/>
      <c r="V121" s="8"/>
      <c r="W121" s="407"/>
      <c r="X121" s="16">
        <f t="shared" si="37"/>
        <v>5500000</v>
      </c>
      <c r="Y121" s="16">
        <f t="shared" si="43"/>
        <v>0</v>
      </c>
    </row>
    <row r="122" spans="1:25" s="16" customFormat="1" ht="15">
      <c r="A122" s="236"/>
      <c r="B122" s="829" t="s">
        <v>65</v>
      </c>
      <c r="C122" s="1140"/>
      <c r="D122" s="94"/>
      <c r="E122" s="1137"/>
      <c r="F122" s="408"/>
      <c r="G122" s="393"/>
      <c r="H122" s="405"/>
      <c r="N122" s="6"/>
      <c r="O122" s="1137"/>
      <c r="P122" s="179"/>
      <c r="Q122" s="223"/>
      <c r="R122" s="223"/>
      <c r="S122" s="928"/>
      <c r="T122" s="928"/>
      <c r="U122" s="928"/>
      <c r="V122" s="14" t="s">
        <v>67</v>
      </c>
      <c r="X122" s="16">
        <f t="shared" si="37"/>
        <v>0</v>
      </c>
      <c r="Y122" s="16">
        <f t="shared" si="43"/>
        <v>0</v>
      </c>
    </row>
    <row r="123" spans="1:25" s="16" customFormat="1" ht="45">
      <c r="A123" s="236"/>
      <c r="B123" s="837" t="s">
        <v>631</v>
      </c>
      <c r="C123" s="1137" t="s">
        <v>632</v>
      </c>
      <c r="D123" s="13">
        <v>40842</v>
      </c>
      <c r="E123" s="1137" t="s">
        <v>4998</v>
      </c>
      <c r="F123" s="1129" t="s">
        <v>4997</v>
      </c>
      <c r="G123" s="1129"/>
      <c r="H123" s="394">
        <v>4207859</v>
      </c>
      <c r="I123" s="394"/>
      <c r="J123" s="94"/>
      <c r="K123" s="94"/>
      <c r="L123" s="395">
        <v>369980</v>
      </c>
      <c r="M123" s="394">
        <f>SUM(J123:L123)</f>
        <v>369980</v>
      </c>
      <c r="N123" s="1137" t="s">
        <v>517</v>
      </c>
      <c r="O123" s="1137"/>
      <c r="P123" s="179"/>
      <c r="Q123" s="223"/>
      <c r="R123" s="223"/>
      <c r="S123" s="928"/>
      <c r="T123" s="928"/>
      <c r="U123" s="928"/>
      <c r="V123" s="1368" t="s">
        <v>61</v>
      </c>
      <c r="X123" s="16">
        <f t="shared" si="37"/>
        <v>369980</v>
      </c>
      <c r="Y123" s="16">
        <f t="shared" si="43"/>
        <v>0</v>
      </c>
    </row>
    <row r="124" spans="1:25" s="16" customFormat="1" ht="15">
      <c r="A124" s="236"/>
      <c r="B124" s="837" t="s">
        <v>633</v>
      </c>
      <c r="C124" s="1137" t="s">
        <v>634</v>
      </c>
      <c r="D124" s="13">
        <v>40836</v>
      </c>
      <c r="E124" s="1137" t="s">
        <v>5000</v>
      </c>
      <c r="F124" s="767" t="s">
        <v>4999</v>
      </c>
      <c r="G124" s="767"/>
      <c r="H124" s="6">
        <v>250000</v>
      </c>
      <c r="I124" s="6"/>
      <c r="J124" s="94"/>
      <c r="K124" s="94"/>
      <c r="L124" s="187">
        <v>250000</v>
      </c>
      <c r="M124" s="394">
        <f t="shared" ref="M124:M126" si="52">SUM(J124:L124)</f>
        <v>250000</v>
      </c>
      <c r="N124" s="1137" t="s">
        <v>517</v>
      </c>
      <c r="O124" s="1137"/>
      <c r="P124" s="179"/>
      <c r="Q124" s="223"/>
      <c r="R124" s="223"/>
      <c r="S124" s="928"/>
      <c r="T124" s="928"/>
      <c r="U124" s="928"/>
      <c r="V124" s="1368"/>
      <c r="X124" s="16">
        <f t="shared" si="37"/>
        <v>250000</v>
      </c>
      <c r="Y124" s="16">
        <f t="shared" si="43"/>
        <v>0</v>
      </c>
    </row>
    <row r="125" spans="1:25" s="16" customFormat="1" ht="15">
      <c r="A125" s="236"/>
      <c r="B125" s="837"/>
      <c r="C125" s="1137"/>
      <c r="D125" s="409"/>
      <c r="E125" s="1137"/>
      <c r="F125" s="767"/>
      <c r="G125" s="767"/>
      <c r="H125" s="6">
        <v>890249</v>
      </c>
      <c r="I125" s="6"/>
      <c r="J125" s="410"/>
      <c r="K125" s="410"/>
      <c r="L125" s="6"/>
      <c r="M125" s="394">
        <f t="shared" si="52"/>
        <v>0</v>
      </c>
      <c r="N125" s="1137"/>
      <c r="O125" s="1137"/>
      <c r="P125" s="179"/>
      <c r="Q125" s="223"/>
      <c r="R125" s="223"/>
      <c r="S125" s="928"/>
      <c r="T125" s="928"/>
      <c r="U125" s="928"/>
      <c r="V125" s="1368"/>
      <c r="X125" s="16">
        <f t="shared" si="37"/>
        <v>0</v>
      </c>
      <c r="Y125" s="16">
        <f t="shared" si="43"/>
        <v>0</v>
      </c>
    </row>
    <row r="126" spans="1:25" s="16" customFormat="1" ht="15">
      <c r="A126" s="236"/>
      <c r="B126" s="837" t="s">
        <v>635</v>
      </c>
      <c r="C126" s="1137" t="s">
        <v>634</v>
      </c>
      <c r="D126" s="13">
        <v>40836</v>
      </c>
      <c r="E126" s="1137" t="s">
        <v>5002</v>
      </c>
      <c r="F126" s="1369" t="s">
        <v>5001</v>
      </c>
      <c r="G126" s="767"/>
      <c r="H126" s="10"/>
      <c r="I126" s="10"/>
      <c r="J126" s="225"/>
      <c r="K126" s="225"/>
      <c r="L126" s="10">
        <v>1032200</v>
      </c>
      <c r="M126" s="394">
        <f t="shared" si="52"/>
        <v>1032200</v>
      </c>
      <c r="N126" s="1137" t="s">
        <v>517</v>
      </c>
      <c r="O126" s="1137"/>
      <c r="P126" s="179"/>
      <c r="Q126" s="223"/>
      <c r="R126" s="223"/>
      <c r="S126" s="928"/>
      <c r="T126" s="928"/>
      <c r="U126" s="928"/>
      <c r="V126" s="1368"/>
      <c r="X126" s="16">
        <f t="shared" si="37"/>
        <v>1032200</v>
      </c>
      <c r="Y126" s="16">
        <f t="shared" si="43"/>
        <v>0</v>
      </c>
    </row>
    <row r="127" spans="1:25" s="16" customFormat="1" ht="15">
      <c r="A127" s="236"/>
      <c r="B127" s="837" t="s">
        <v>636</v>
      </c>
      <c r="C127" s="1137"/>
      <c r="D127" s="409"/>
      <c r="E127" s="1137"/>
      <c r="F127" s="1369"/>
      <c r="G127" s="767"/>
      <c r="H127" s="10"/>
      <c r="I127" s="10"/>
      <c r="J127" s="411"/>
      <c r="K127" s="411"/>
      <c r="L127" s="147">
        <f>SUM(L128:L188)</f>
        <v>1162020</v>
      </c>
      <c r="M127" s="147">
        <f>SUM(M128:M188)</f>
        <v>1162020</v>
      </c>
      <c r="N127" s="1137" t="s">
        <v>517</v>
      </c>
      <c r="O127" s="1137"/>
      <c r="P127" s="179"/>
      <c r="Q127" s="223"/>
      <c r="R127" s="223"/>
      <c r="S127" s="928"/>
      <c r="T127" s="928"/>
      <c r="U127" s="928"/>
      <c r="V127" s="1128"/>
      <c r="X127" s="16">
        <f t="shared" si="37"/>
        <v>1162020</v>
      </c>
      <c r="Y127" s="16">
        <f t="shared" si="43"/>
        <v>0</v>
      </c>
    </row>
    <row r="128" spans="1:25" s="16" customFormat="1" ht="30">
      <c r="A128" s="236"/>
      <c r="B128" s="837"/>
      <c r="C128" s="1137" t="s">
        <v>637</v>
      </c>
      <c r="D128" s="13">
        <v>40836</v>
      </c>
      <c r="E128" s="1137" t="s">
        <v>5002</v>
      </c>
      <c r="F128" s="1129" t="s">
        <v>5001</v>
      </c>
      <c r="G128" s="767"/>
      <c r="H128" s="10"/>
      <c r="I128" s="10"/>
      <c r="J128" s="13"/>
      <c r="K128" s="13"/>
      <c r="L128" s="14">
        <v>18405</v>
      </c>
      <c r="M128" s="10">
        <f>SUM(J128:L128)</f>
        <v>18405</v>
      </c>
      <c r="N128" s="1137"/>
      <c r="O128" s="1137"/>
      <c r="P128" s="179"/>
      <c r="Q128" s="223"/>
      <c r="R128" s="223"/>
      <c r="S128" s="928"/>
      <c r="T128" s="928"/>
      <c r="U128" s="928"/>
      <c r="V128" s="1128"/>
      <c r="X128" s="16">
        <f t="shared" si="37"/>
        <v>18405</v>
      </c>
      <c r="Y128" s="16">
        <f t="shared" si="43"/>
        <v>0</v>
      </c>
    </row>
    <row r="129" spans="1:25" s="16" customFormat="1" ht="30">
      <c r="A129" s="236"/>
      <c r="B129" s="837"/>
      <c r="C129" s="1137" t="s">
        <v>638</v>
      </c>
      <c r="D129" s="13">
        <v>40836</v>
      </c>
      <c r="E129" s="1137" t="s">
        <v>5002</v>
      </c>
      <c r="F129" s="1129" t="s">
        <v>5001</v>
      </c>
      <c r="G129" s="767"/>
      <c r="H129" s="10"/>
      <c r="I129" s="10"/>
      <c r="J129" s="13"/>
      <c r="K129" s="13"/>
      <c r="L129" s="14">
        <v>6000</v>
      </c>
      <c r="M129" s="10">
        <f t="shared" ref="M129:M190" si="53">SUM(J129:L129)</f>
        <v>6000</v>
      </c>
      <c r="N129" s="1137"/>
      <c r="O129" s="1137"/>
      <c r="P129" s="179"/>
      <c r="Q129" s="223"/>
      <c r="R129" s="223"/>
      <c r="S129" s="928"/>
      <c r="T129" s="928"/>
      <c r="U129" s="928"/>
      <c r="V129" s="1128"/>
      <c r="X129" s="16">
        <f t="shared" si="37"/>
        <v>6000</v>
      </c>
      <c r="Y129" s="16">
        <f t="shared" ref="Y129:Y160" si="54">X129-M129</f>
        <v>0</v>
      </c>
    </row>
    <row r="130" spans="1:25" s="16" customFormat="1" ht="30">
      <c r="A130" s="236"/>
      <c r="B130" s="837"/>
      <c r="C130" s="1137" t="s">
        <v>639</v>
      </c>
      <c r="D130" s="13">
        <v>40836</v>
      </c>
      <c r="E130" s="1137" t="s">
        <v>5002</v>
      </c>
      <c r="F130" s="1129" t="s">
        <v>5001</v>
      </c>
      <c r="G130" s="767"/>
      <c r="H130" s="10"/>
      <c r="I130" s="10"/>
      <c r="J130" s="13"/>
      <c r="K130" s="13"/>
      <c r="L130" s="14">
        <v>2500</v>
      </c>
      <c r="M130" s="10">
        <f t="shared" si="53"/>
        <v>2500</v>
      </c>
      <c r="N130" s="1137"/>
      <c r="O130" s="1137"/>
      <c r="P130" s="179"/>
      <c r="Q130" s="223"/>
      <c r="R130" s="223"/>
      <c r="S130" s="928"/>
      <c r="T130" s="928"/>
      <c r="U130" s="928"/>
      <c r="V130" s="1128"/>
      <c r="X130" s="16">
        <f t="shared" si="37"/>
        <v>2500</v>
      </c>
      <c r="Y130" s="16">
        <f t="shared" si="54"/>
        <v>0</v>
      </c>
    </row>
    <row r="131" spans="1:25" s="16" customFormat="1" ht="30">
      <c r="A131" s="236"/>
      <c r="B131" s="837"/>
      <c r="C131" s="1137" t="s">
        <v>640</v>
      </c>
      <c r="D131" s="13">
        <v>40836</v>
      </c>
      <c r="E131" s="1137" t="s">
        <v>5002</v>
      </c>
      <c r="F131" s="1129" t="s">
        <v>5001</v>
      </c>
      <c r="G131" s="767"/>
      <c r="H131" s="10"/>
      <c r="I131" s="10"/>
      <c r="J131" s="13"/>
      <c r="K131" s="13"/>
      <c r="L131" s="14">
        <v>27700</v>
      </c>
      <c r="M131" s="10">
        <f t="shared" si="53"/>
        <v>27700</v>
      </c>
      <c r="N131" s="1137"/>
      <c r="O131" s="1137"/>
      <c r="P131" s="179"/>
      <c r="Q131" s="223"/>
      <c r="R131" s="223"/>
      <c r="S131" s="928"/>
      <c r="T131" s="928"/>
      <c r="U131" s="928"/>
      <c r="V131" s="1128"/>
      <c r="X131" s="16">
        <f t="shared" si="37"/>
        <v>27700</v>
      </c>
      <c r="Y131" s="16">
        <f t="shared" si="54"/>
        <v>0</v>
      </c>
    </row>
    <row r="132" spans="1:25" s="16" customFormat="1" ht="30">
      <c r="A132" s="236"/>
      <c r="B132" s="837"/>
      <c r="C132" s="1137" t="s">
        <v>641</v>
      </c>
      <c r="D132" s="13">
        <v>40836</v>
      </c>
      <c r="E132" s="1137" t="s">
        <v>5002</v>
      </c>
      <c r="F132" s="1129" t="s">
        <v>5001</v>
      </c>
      <c r="G132" s="767"/>
      <c r="H132" s="10"/>
      <c r="I132" s="10"/>
      <c r="J132" s="13"/>
      <c r="K132" s="13"/>
      <c r="L132" s="14">
        <v>32268</v>
      </c>
      <c r="M132" s="10">
        <f t="shared" si="53"/>
        <v>32268</v>
      </c>
      <c r="N132" s="1137"/>
      <c r="O132" s="1137"/>
      <c r="P132" s="179"/>
      <c r="Q132" s="223"/>
      <c r="R132" s="223"/>
      <c r="S132" s="928"/>
      <c r="T132" s="928"/>
      <c r="U132" s="928"/>
      <c r="V132" s="1128"/>
      <c r="X132" s="16">
        <f t="shared" si="37"/>
        <v>32268</v>
      </c>
      <c r="Y132" s="16">
        <f t="shared" si="54"/>
        <v>0</v>
      </c>
    </row>
    <row r="133" spans="1:25" s="16" customFormat="1" ht="30">
      <c r="A133" s="236"/>
      <c r="B133" s="837"/>
      <c r="C133" s="1137" t="s">
        <v>642</v>
      </c>
      <c r="D133" s="13">
        <v>40836</v>
      </c>
      <c r="E133" s="1137" t="s">
        <v>5002</v>
      </c>
      <c r="F133" s="1129" t="s">
        <v>5001</v>
      </c>
      <c r="G133" s="767"/>
      <c r="H133" s="10"/>
      <c r="I133" s="10"/>
      <c r="J133" s="13"/>
      <c r="K133" s="13"/>
      <c r="L133" s="14">
        <v>58350</v>
      </c>
      <c r="M133" s="10">
        <f t="shared" si="53"/>
        <v>58350</v>
      </c>
      <c r="N133" s="1137"/>
      <c r="O133" s="1137"/>
      <c r="P133" s="179"/>
      <c r="Q133" s="223"/>
      <c r="R133" s="223"/>
      <c r="S133" s="928"/>
      <c r="T133" s="928"/>
      <c r="U133" s="928"/>
      <c r="V133" s="1128"/>
      <c r="X133" s="16">
        <f t="shared" si="37"/>
        <v>58350</v>
      </c>
      <c r="Y133" s="16">
        <f t="shared" si="54"/>
        <v>0</v>
      </c>
    </row>
    <row r="134" spans="1:25" s="16" customFormat="1" ht="30">
      <c r="A134" s="236"/>
      <c r="B134" s="837"/>
      <c r="C134" s="1137" t="s">
        <v>643</v>
      </c>
      <c r="D134" s="13">
        <v>40836</v>
      </c>
      <c r="E134" s="1137" t="s">
        <v>5002</v>
      </c>
      <c r="F134" s="1129" t="s">
        <v>5001</v>
      </c>
      <c r="G134" s="767"/>
      <c r="H134" s="10"/>
      <c r="I134" s="10"/>
      <c r="J134" s="13"/>
      <c r="K134" s="13"/>
      <c r="L134" s="14">
        <v>14060</v>
      </c>
      <c r="M134" s="10">
        <f t="shared" si="53"/>
        <v>14060</v>
      </c>
      <c r="N134" s="1137"/>
      <c r="O134" s="1137"/>
      <c r="P134" s="179"/>
      <c r="Q134" s="223"/>
      <c r="R134" s="223"/>
      <c r="S134" s="928"/>
      <c r="T134" s="928"/>
      <c r="U134" s="928"/>
      <c r="V134" s="1128"/>
      <c r="X134" s="16">
        <f t="shared" si="37"/>
        <v>14060</v>
      </c>
      <c r="Y134" s="16">
        <f t="shared" si="54"/>
        <v>0</v>
      </c>
    </row>
    <row r="135" spans="1:25" s="16" customFormat="1" ht="30">
      <c r="A135" s="236"/>
      <c r="B135" s="837"/>
      <c r="C135" s="1137" t="s">
        <v>644</v>
      </c>
      <c r="D135" s="13">
        <v>40836</v>
      </c>
      <c r="E135" s="1137" t="s">
        <v>5002</v>
      </c>
      <c r="F135" s="1129" t="s">
        <v>5001</v>
      </c>
      <c r="G135" s="767"/>
      <c r="H135" s="10"/>
      <c r="I135" s="10"/>
      <c r="J135" s="13"/>
      <c r="K135" s="13"/>
      <c r="L135" s="14">
        <v>40000</v>
      </c>
      <c r="M135" s="10">
        <f t="shared" si="53"/>
        <v>40000</v>
      </c>
      <c r="N135" s="1137"/>
      <c r="O135" s="1137"/>
      <c r="P135" s="179"/>
      <c r="Q135" s="223"/>
      <c r="R135" s="223"/>
      <c r="S135" s="928"/>
      <c r="T135" s="928"/>
      <c r="U135" s="928"/>
      <c r="V135" s="1128"/>
      <c r="X135" s="16">
        <f t="shared" si="37"/>
        <v>40000</v>
      </c>
      <c r="Y135" s="16">
        <f t="shared" si="54"/>
        <v>0</v>
      </c>
    </row>
    <row r="136" spans="1:25" s="16" customFormat="1" ht="30">
      <c r="A136" s="236"/>
      <c r="B136" s="837"/>
      <c r="C136" s="1137" t="s">
        <v>645</v>
      </c>
      <c r="D136" s="13">
        <v>40836</v>
      </c>
      <c r="E136" s="1137" t="s">
        <v>5002</v>
      </c>
      <c r="F136" s="1129" t="s">
        <v>5001</v>
      </c>
      <c r="G136" s="767"/>
      <c r="H136" s="10"/>
      <c r="I136" s="10"/>
      <c r="J136" s="13"/>
      <c r="K136" s="13"/>
      <c r="L136" s="14">
        <v>18900</v>
      </c>
      <c r="M136" s="10">
        <f t="shared" si="53"/>
        <v>18900</v>
      </c>
      <c r="N136" s="1137"/>
      <c r="O136" s="1137"/>
      <c r="P136" s="179"/>
      <c r="Q136" s="223"/>
      <c r="R136" s="223"/>
      <c r="S136" s="928"/>
      <c r="T136" s="928"/>
      <c r="U136" s="928"/>
      <c r="V136" s="1128"/>
      <c r="X136" s="16">
        <f t="shared" si="37"/>
        <v>18900</v>
      </c>
      <c r="Y136" s="16">
        <f t="shared" si="54"/>
        <v>0</v>
      </c>
    </row>
    <row r="137" spans="1:25" s="16" customFormat="1" ht="30">
      <c r="A137" s="236"/>
      <c r="B137" s="837"/>
      <c r="C137" s="1137" t="s">
        <v>646</v>
      </c>
      <c r="D137" s="13">
        <v>40836</v>
      </c>
      <c r="E137" s="1137" t="s">
        <v>5002</v>
      </c>
      <c r="F137" s="1129" t="s">
        <v>5001</v>
      </c>
      <c r="G137" s="767"/>
      <c r="H137" s="10"/>
      <c r="I137" s="10"/>
      <c r="J137" s="13"/>
      <c r="K137" s="13"/>
      <c r="L137" s="14">
        <v>5000</v>
      </c>
      <c r="M137" s="10">
        <f t="shared" si="53"/>
        <v>5000</v>
      </c>
      <c r="N137" s="1137"/>
      <c r="O137" s="1137"/>
      <c r="P137" s="179"/>
      <c r="Q137" s="223"/>
      <c r="R137" s="223"/>
      <c r="S137" s="928"/>
      <c r="T137" s="928"/>
      <c r="U137" s="928"/>
      <c r="V137" s="1128"/>
      <c r="X137" s="16">
        <f t="shared" si="37"/>
        <v>5000</v>
      </c>
      <c r="Y137" s="16">
        <f t="shared" si="54"/>
        <v>0</v>
      </c>
    </row>
    <row r="138" spans="1:25" s="16" customFormat="1" ht="30">
      <c r="A138" s="236"/>
      <c r="B138" s="837"/>
      <c r="C138" s="1137" t="s">
        <v>647</v>
      </c>
      <c r="D138" s="13">
        <v>40836</v>
      </c>
      <c r="E138" s="1137" t="s">
        <v>5002</v>
      </c>
      <c r="F138" s="1129" t="s">
        <v>5001</v>
      </c>
      <c r="G138" s="767"/>
      <c r="H138" s="10"/>
      <c r="I138" s="10"/>
      <c r="J138" s="13"/>
      <c r="K138" s="13"/>
      <c r="L138" s="14">
        <v>14000</v>
      </c>
      <c r="M138" s="10">
        <f t="shared" si="53"/>
        <v>14000</v>
      </c>
      <c r="N138" s="1137"/>
      <c r="O138" s="1137"/>
      <c r="P138" s="179"/>
      <c r="Q138" s="223"/>
      <c r="R138" s="223"/>
      <c r="S138" s="928"/>
      <c r="T138" s="928"/>
      <c r="U138" s="928"/>
      <c r="V138" s="1128"/>
      <c r="X138" s="16">
        <f t="shared" si="37"/>
        <v>14000</v>
      </c>
      <c r="Y138" s="16">
        <f t="shared" si="54"/>
        <v>0</v>
      </c>
    </row>
    <row r="139" spans="1:25" s="16" customFormat="1" ht="30">
      <c r="A139" s="236"/>
      <c r="B139" s="837"/>
      <c r="C139" s="1137" t="s">
        <v>648</v>
      </c>
      <c r="D139" s="13">
        <v>40836</v>
      </c>
      <c r="E139" s="1137" t="s">
        <v>5002</v>
      </c>
      <c r="F139" s="1129" t="s">
        <v>5001</v>
      </c>
      <c r="G139" s="767"/>
      <c r="H139" s="10"/>
      <c r="I139" s="10"/>
      <c r="J139" s="13"/>
      <c r="K139" s="13"/>
      <c r="L139" s="14">
        <v>500</v>
      </c>
      <c r="M139" s="10">
        <f t="shared" si="53"/>
        <v>500</v>
      </c>
      <c r="N139" s="1137"/>
      <c r="O139" s="1137"/>
      <c r="P139" s="179"/>
      <c r="Q139" s="223"/>
      <c r="R139" s="223"/>
      <c r="S139" s="928"/>
      <c r="T139" s="928"/>
      <c r="U139" s="928"/>
      <c r="V139" s="1128"/>
      <c r="X139" s="16">
        <f t="shared" si="37"/>
        <v>500</v>
      </c>
      <c r="Y139" s="16">
        <f t="shared" si="54"/>
        <v>0</v>
      </c>
    </row>
    <row r="140" spans="1:25" s="16" customFormat="1" ht="30">
      <c r="A140" s="236"/>
      <c r="B140" s="837"/>
      <c r="C140" s="1137" t="s">
        <v>649</v>
      </c>
      <c r="D140" s="13">
        <v>40836</v>
      </c>
      <c r="E140" s="1137" t="s">
        <v>5002</v>
      </c>
      <c r="F140" s="1129" t="s">
        <v>5001</v>
      </c>
      <c r="G140" s="767"/>
      <c r="H140" s="10"/>
      <c r="I140" s="10"/>
      <c r="J140" s="13"/>
      <c r="K140" s="13"/>
      <c r="L140" s="14">
        <v>500</v>
      </c>
      <c r="M140" s="10">
        <f t="shared" si="53"/>
        <v>500</v>
      </c>
      <c r="N140" s="1137"/>
      <c r="O140" s="1137"/>
      <c r="P140" s="179"/>
      <c r="Q140" s="223"/>
      <c r="R140" s="223"/>
      <c r="S140" s="928"/>
      <c r="T140" s="928"/>
      <c r="U140" s="928"/>
      <c r="V140" s="1128"/>
      <c r="X140" s="16">
        <f t="shared" si="37"/>
        <v>500</v>
      </c>
      <c r="Y140" s="16">
        <f t="shared" si="54"/>
        <v>0</v>
      </c>
    </row>
    <row r="141" spans="1:25" s="16" customFormat="1" ht="30">
      <c r="A141" s="236"/>
      <c r="B141" s="837"/>
      <c r="C141" s="1137" t="s">
        <v>650</v>
      </c>
      <c r="D141" s="13">
        <v>40836</v>
      </c>
      <c r="E141" s="1137" t="s">
        <v>5002</v>
      </c>
      <c r="F141" s="1129" t="s">
        <v>5001</v>
      </c>
      <c r="G141" s="767"/>
      <c r="H141" s="10"/>
      <c r="I141" s="10"/>
      <c r="J141" s="13"/>
      <c r="K141" s="13"/>
      <c r="L141" s="14">
        <v>2000</v>
      </c>
      <c r="M141" s="10">
        <f t="shared" si="53"/>
        <v>2000</v>
      </c>
      <c r="N141" s="1137"/>
      <c r="O141" s="1137"/>
      <c r="P141" s="179"/>
      <c r="Q141" s="223"/>
      <c r="R141" s="223"/>
      <c r="S141" s="928"/>
      <c r="T141" s="928"/>
      <c r="U141" s="928"/>
      <c r="V141" s="1128"/>
      <c r="X141" s="16">
        <f t="shared" si="37"/>
        <v>2000</v>
      </c>
      <c r="Y141" s="16">
        <f t="shared" si="54"/>
        <v>0</v>
      </c>
    </row>
    <row r="142" spans="1:25" s="16" customFormat="1" ht="30">
      <c r="A142" s="236"/>
      <c r="B142" s="837"/>
      <c r="C142" s="1137" t="s">
        <v>651</v>
      </c>
      <c r="D142" s="13">
        <v>40836</v>
      </c>
      <c r="E142" s="1137" t="s">
        <v>5002</v>
      </c>
      <c r="F142" s="1129" t="s">
        <v>5001</v>
      </c>
      <c r="G142" s="767"/>
      <c r="H142" s="10"/>
      <c r="I142" s="10"/>
      <c r="J142" s="13"/>
      <c r="K142" s="13"/>
      <c r="L142" s="14">
        <v>1200</v>
      </c>
      <c r="M142" s="10">
        <f t="shared" si="53"/>
        <v>1200</v>
      </c>
      <c r="N142" s="1137"/>
      <c r="O142" s="1137"/>
      <c r="P142" s="179"/>
      <c r="Q142" s="223"/>
      <c r="R142" s="223"/>
      <c r="S142" s="928"/>
      <c r="T142" s="928"/>
      <c r="U142" s="928"/>
      <c r="V142" s="1128"/>
      <c r="X142" s="16">
        <f t="shared" ref="X142:X205" si="55">SUM(J142:L142)</f>
        <v>1200</v>
      </c>
      <c r="Y142" s="16">
        <f t="shared" si="54"/>
        <v>0</v>
      </c>
    </row>
    <row r="143" spans="1:25" s="16" customFormat="1" ht="30">
      <c r="A143" s="236"/>
      <c r="B143" s="837"/>
      <c r="C143" s="1137" t="s">
        <v>652</v>
      </c>
      <c r="D143" s="13">
        <v>40836</v>
      </c>
      <c r="E143" s="1137" t="s">
        <v>5002</v>
      </c>
      <c r="F143" s="1129" t="s">
        <v>5001</v>
      </c>
      <c r="G143" s="767"/>
      <c r="H143" s="10"/>
      <c r="I143" s="10"/>
      <c r="J143" s="13"/>
      <c r="K143" s="13"/>
      <c r="L143" s="14">
        <v>25750</v>
      </c>
      <c r="M143" s="10">
        <f t="shared" si="53"/>
        <v>25750</v>
      </c>
      <c r="N143" s="1137"/>
      <c r="O143" s="1137"/>
      <c r="P143" s="179"/>
      <c r="Q143" s="223"/>
      <c r="R143" s="223"/>
      <c r="S143" s="928"/>
      <c r="T143" s="928"/>
      <c r="U143" s="928"/>
      <c r="V143" s="1128"/>
      <c r="X143" s="16">
        <f t="shared" si="55"/>
        <v>25750</v>
      </c>
      <c r="Y143" s="16">
        <f t="shared" si="54"/>
        <v>0</v>
      </c>
    </row>
    <row r="144" spans="1:25" s="16" customFormat="1" ht="30">
      <c r="A144" s="236"/>
      <c r="B144" s="837"/>
      <c r="C144" s="1137" t="s">
        <v>653</v>
      </c>
      <c r="D144" s="13">
        <v>40836</v>
      </c>
      <c r="E144" s="1137" t="s">
        <v>5002</v>
      </c>
      <c r="F144" s="1129" t="s">
        <v>5001</v>
      </c>
      <c r="G144" s="767"/>
      <c r="H144" s="10"/>
      <c r="I144" s="10"/>
      <c r="J144" s="13"/>
      <c r="K144" s="13"/>
      <c r="L144" s="14">
        <v>3200</v>
      </c>
      <c r="M144" s="10">
        <f t="shared" si="53"/>
        <v>3200</v>
      </c>
      <c r="N144" s="1137"/>
      <c r="O144" s="1137"/>
      <c r="P144" s="179"/>
      <c r="Q144" s="223"/>
      <c r="R144" s="223"/>
      <c r="S144" s="928"/>
      <c r="T144" s="928"/>
      <c r="U144" s="928"/>
      <c r="V144" s="1128"/>
      <c r="X144" s="16">
        <f t="shared" si="55"/>
        <v>3200</v>
      </c>
      <c r="Y144" s="16">
        <f t="shared" si="54"/>
        <v>0</v>
      </c>
    </row>
    <row r="145" spans="1:25" s="16" customFormat="1" ht="30">
      <c r="A145" s="236"/>
      <c r="B145" s="837"/>
      <c r="C145" s="1137" t="s">
        <v>654</v>
      </c>
      <c r="D145" s="13">
        <v>40836</v>
      </c>
      <c r="E145" s="1137" t="s">
        <v>5002</v>
      </c>
      <c r="F145" s="1129" t="s">
        <v>5001</v>
      </c>
      <c r="G145" s="767"/>
      <c r="H145" s="10"/>
      <c r="I145" s="10"/>
      <c r="J145" s="13"/>
      <c r="K145" s="13"/>
      <c r="L145" s="14">
        <v>2500</v>
      </c>
      <c r="M145" s="10">
        <f t="shared" si="53"/>
        <v>2500</v>
      </c>
      <c r="N145" s="1137"/>
      <c r="O145" s="1137"/>
      <c r="P145" s="179"/>
      <c r="Q145" s="223"/>
      <c r="R145" s="223"/>
      <c r="S145" s="928"/>
      <c r="T145" s="928"/>
      <c r="U145" s="928"/>
      <c r="V145" s="1128"/>
      <c r="X145" s="16">
        <f t="shared" si="55"/>
        <v>2500</v>
      </c>
      <c r="Y145" s="16">
        <f t="shared" si="54"/>
        <v>0</v>
      </c>
    </row>
    <row r="146" spans="1:25" s="16" customFormat="1" ht="30">
      <c r="A146" s="236"/>
      <c r="B146" s="837"/>
      <c r="C146" s="1137" t="s">
        <v>655</v>
      </c>
      <c r="D146" s="13">
        <v>40836</v>
      </c>
      <c r="E146" s="1137" t="s">
        <v>5002</v>
      </c>
      <c r="F146" s="1129" t="s">
        <v>5001</v>
      </c>
      <c r="G146" s="767"/>
      <c r="H146" s="10"/>
      <c r="I146" s="10"/>
      <c r="J146" s="13"/>
      <c r="K146" s="13"/>
      <c r="L146" s="14">
        <v>140000</v>
      </c>
      <c r="M146" s="10">
        <f t="shared" si="53"/>
        <v>140000</v>
      </c>
      <c r="N146" s="1137"/>
      <c r="O146" s="1137"/>
      <c r="P146" s="179"/>
      <c r="Q146" s="223"/>
      <c r="R146" s="223"/>
      <c r="S146" s="928"/>
      <c r="T146" s="928"/>
      <c r="U146" s="928"/>
      <c r="V146" s="1128"/>
      <c r="X146" s="16">
        <f t="shared" si="55"/>
        <v>140000</v>
      </c>
      <c r="Y146" s="16">
        <f t="shared" si="54"/>
        <v>0</v>
      </c>
    </row>
    <row r="147" spans="1:25" s="16" customFormat="1" ht="30">
      <c r="A147" s="236"/>
      <c r="B147" s="837"/>
      <c r="C147" s="1137" t="s">
        <v>656</v>
      </c>
      <c r="D147" s="13">
        <v>40836</v>
      </c>
      <c r="E147" s="1137" t="s">
        <v>5002</v>
      </c>
      <c r="F147" s="1129" t="s">
        <v>5001</v>
      </c>
      <c r="G147" s="767"/>
      <c r="H147" s="10"/>
      <c r="I147" s="10"/>
      <c r="J147" s="13"/>
      <c r="K147" s="13"/>
      <c r="L147" s="14">
        <v>60000</v>
      </c>
      <c r="M147" s="10">
        <f t="shared" si="53"/>
        <v>60000</v>
      </c>
      <c r="N147" s="1137"/>
      <c r="O147" s="1137"/>
      <c r="P147" s="179"/>
      <c r="Q147" s="223"/>
      <c r="R147" s="223"/>
      <c r="S147" s="928"/>
      <c r="T147" s="928"/>
      <c r="U147" s="928"/>
      <c r="V147" s="1128"/>
      <c r="X147" s="16">
        <f t="shared" si="55"/>
        <v>60000</v>
      </c>
      <c r="Y147" s="16">
        <f t="shared" si="54"/>
        <v>0</v>
      </c>
    </row>
    <row r="148" spans="1:25" s="16" customFormat="1" ht="30">
      <c r="A148" s="236"/>
      <c r="B148" s="837"/>
      <c r="C148" s="1137" t="s">
        <v>657</v>
      </c>
      <c r="D148" s="13">
        <v>40836</v>
      </c>
      <c r="E148" s="1137" t="s">
        <v>5002</v>
      </c>
      <c r="F148" s="1129" t="s">
        <v>5001</v>
      </c>
      <c r="G148" s="767"/>
      <c r="H148" s="10"/>
      <c r="I148" s="10"/>
      <c r="J148" s="13"/>
      <c r="K148" s="13"/>
      <c r="L148" s="14">
        <v>2000</v>
      </c>
      <c r="M148" s="10">
        <f t="shared" si="53"/>
        <v>2000</v>
      </c>
      <c r="N148" s="1137"/>
      <c r="O148" s="1137"/>
      <c r="P148" s="179"/>
      <c r="Q148" s="223"/>
      <c r="R148" s="223"/>
      <c r="S148" s="928"/>
      <c r="T148" s="928"/>
      <c r="U148" s="928"/>
      <c r="V148" s="1128"/>
      <c r="X148" s="16">
        <f t="shared" si="55"/>
        <v>2000</v>
      </c>
      <c r="Y148" s="16">
        <f t="shared" si="54"/>
        <v>0</v>
      </c>
    </row>
    <row r="149" spans="1:25" s="16" customFormat="1" ht="30">
      <c r="A149" s="236"/>
      <c r="B149" s="837"/>
      <c r="C149" s="1137" t="s">
        <v>658</v>
      </c>
      <c r="D149" s="13">
        <v>40836</v>
      </c>
      <c r="E149" s="1137" t="s">
        <v>5002</v>
      </c>
      <c r="F149" s="1129" t="s">
        <v>5001</v>
      </c>
      <c r="G149" s="767"/>
      <c r="H149" s="10"/>
      <c r="I149" s="10"/>
      <c r="J149" s="13"/>
      <c r="K149" s="13"/>
      <c r="L149" s="14">
        <v>19500</v>
      </c>
      <c r="M149" s="10">
        <f t="shared" si="53"/>
        <v>19500</v>
      </c>
      <c r="N149" s="1137"/>
      <c r="O149" s="1137"/>
      <c r="P149" s="179"/>
      <c r="Q149" s="223"/>
      <c r="R149" s="223"/>
      <c r="S149" s="928"/>
      <c r="T149" s="928"/>
      <c r="U149" s="928"/>
      <c r="V149" s="1128"/>
      <c r="X149" s="16">
        <f t="shared" si="55"/>
        <v>19500</v>
      </c>
      <c r="Y149" s="16">
        <f t="shared" si="54"/>
        <v>0</v>
      </c>
    </row>
    <row r="150" spans="1:25" s="16" customFormat="1" ht="30">
      <c r="A150" s="236"/>
      <c r="B150" s="837"/>
      <c r="C150" s="1137" t="s">
        <v>659</v>
      </c>
      <c r="D150" s="13">
        <v>40836</v>
      </c>
      <c r="E150" s="1137" t="s">
        <v>5002</v>
      </c>
      <c r="F150" s="1129" t="s">
        <v>5001</v>
      </c>
      <c r="G150" s="767"/>
      <c r="H150" s="10"/>
      <c r="I150" s="10"/>
      <c r="J150" s="13"/>
      <c r="K150" s="13"/>
      <c r="L150" s="14">
        <v>6250</v>
      </c>
      <c r="M150" s="10">
        <f t="shared" si="53"/>
        <v>6250</v>
      </c>
      <c r="N150" s="1137"/>
      <c r="O150" s="1137"/>
      <c r="P150" s="179"/>
      <c r="Q150" s="223"/>
      <c r="R150" s="223"/>
      <c r="S150" s="928"/>
      <c r="T150" s="928"/>
      <c r="U150" s="928"/>
      <c r="V150" s="1128"/>
      <c r="X150" s="16">
        <f t="shared" si="55"/>
        <v>6250</v>
      </c>
      <c r="Y150" s="16">
        <f t="shared" si="54"/>
        <v>0</v>
      </c>
    </row>
    <row r="151" spans="1:25" s="16" customFormat="1" ht="30">
      <c r="A151" s="236"/>
      <c r="B151" s="837"/>
      <c r="C151" s="1137" t="s">
        <v>660</v>
      </c>
      <c r="D151" s="13">
        <v>40836</v>
      </c>
      <c r="E151" s="1137" t="s">
        <v>5002</v>
      </c>
      <c r="F151" s="1129" t="s">
        <v>5001</v>
      </c>
      <c r="G151" s="767"/>
      <c r="H151" s="10"/>
      <c r="I151" s="10"/>
      <c r="J151" s="13"/>
      <c r="K151" s="13"/>
      <c r="L151" s="14">
        <v>17400</v>
      </c>
      <c r="M151" s="10">
        <f t="shared" si="53"/>
        <v>17400</v>
      </c>
      <c r="N151" s="1137"/>
      <c r="O151" s="1137"/>
      <c r="P151" s="179"/>
      <c r="Q151" s="223"/>
      <c r="R151" s="223"/>
      <c r="S151" s="928"/>
      <c r="T151" s="928"/>
      <c r="U151" s="928"/>
      <c r="V151" s="1128"/>
      <c r="X151" s="16">
        <f t="shared" si="55"/>
        <v>17400</v>
      </c>
      <c r="Y151" s="16">
        <f t="shared" si="54"/>
        <v>0</v>
      </c>
    </row>
    <row r="152" spans="1:25" s="16" customFormat="1" ht="30">
      <c r="A152" s="236"/>
      <c r="B152" s="837"/>
      <c r="C152" s="1137" t="s">
        <v>661</v>
      </c>
      <c r="D152" s="13">
        <v>40836</v>
      </c>
      <c r="E152" s="1137" t="s">
        <v>5002</v>
      </c>
      <c r="F152" s="1129" t="s">
        <v>5001</v>
      </c>
      <c r="G152" s="767"/>
      <c r="H152" s="10"/>
      <c r="I152" s="10"/>
      <c r="J152" s="13"/>
      <c r="K152" s="13"/>
      <c r="L152" s="14">
        <v>60000</v>
      </c>
      <c r="M152" s="10">
        <f t="shared" si="53"/>
        <v>60000</v>
      </c>
      <c r="N152" s="1137"/>
      <c r="O152" s="1137"/>
      <c r="P152" s="179"/>
      <c r="Q152" s="223"/>
      <c r="R152" s="223"/>
      <c r="S152" s="928"/>
      <c r="T152" s="928"/>
      <c r="U152" s="928"/>
      <c r="V152" s="1128"/>
      <c r="X152" s="16">
        <f t="shared" si="55"/>
        <v>60000</v>
      </c>
      <c r="Y152" s="16">
        <f t="shared" si="54"/>
        <v>0</v>
      </c>
    </row>
    <row r="153" spans="1:25" s="16" customFormat="1" ht="30">
      <c r="A153" s="236"/>
      <c r="B153" s="837"/>
      <c r="C153" s="1137" t="s">
        <v>662</v>
      </c>
      <c r="D153" s="13">
        <v>40836</v>
      </c>
      <c r="E153" s="1137" t="s">
        <v>5002</v>
      </c>
      <c r="F153" s="1129" t="s">
        <v>5001</v>
      </c>
      <c r="G153" s="767"/>
      <c r="H153" s="10"/>
      <c r="I153" s="10"/>
      <c r="J153" s="13"/>
      <c r="K153" s="13"/>
      <c r="L153" s="14">
        <v>52000</v>
      </c>
      <c r="M153" s="10">
        <f t="shared" si="53"/>
        <v>52000</v>
      </c>
      <c r="N153" s="1137"/>
      <c r="O153" s="1137"/>
      <c r="P153" s="179"/>
      <c r="Q153" s="223"/>
      <c r="R153" s="223"/>
      <c r="S153" s="928"/>
      <c r="T153" s="928"/>
      <c r="U153" s="928"/>
      <c r="V153" s="1128"/>
      <c r="X153" s="16">
        <f t="shared" si="55"/>
        <v>52000</v>
      </c>
      <c r="Y153" s="16">
        <f t="shared" si="54"/>
        <v>0</v>
      </c>
    </row>
    <row r="154" spans="1:25" s="16" customFormat="1" ht="30">
      <c r="A154" s="236"/>
      <c r="B154" s="837"/>
      <c r="C154" s="1137" t="s">
        <v>663</v>
      </c>
      <c r="D154" s="13">
        <v>40836</v>
      </c>
      <c r="E154" s="1137" t="s">
        <v>5002</v>
      </c>
      <c r="F154" s="1129" t="s">
        <v>5001</v>
      </c>
      <c r="G154" s="767"/>
      <c r="H154" s="10"/>
      <c r="I154" s="10"/>
      <c r="J154" s="13"/>
      <c r="K154" s="13"/>
      <c r="L154" s="14">
        <v>15000</v>
      </c>
      <c r="M154" s="10">
        <f t="shared" si="53"/>
        <v>15000</v>
      </c>
      <c r="N154" s="1137"/>
      <c r="O154" s="1137"/>
      <c r="P154" s="179"/>
      <c r="Q154" s="223"/>
      <c r="R154" s="223"/>
      <c r="S154" s="928"/>
      <c r="T154" s="928"/>
      <c r="U154" s="928"/>
      <c r="V154" s="1128"/>
      <c r="X154" s="16">
        <f t="shared" si="55"/>
        <v>15000</v>
      </c>
      <c r="Y154" s="16">
        <f t="shared" si="54"/>
        <v>0</v>
      </c>
    </row>
    <row r="155" spans="1:25" s="16" customFormat="1" ht="30">
      <c r="A155" s="236"/>
      <c r="B155" s="837"/>
      <c r="C155" s="1137" t="s">
        <v>664</v>
      </c>
      <c r="D155" s="13">
        <v>40836</v>
      </c>
      <c r="E155" s="1137" t="s">
        <v>5002</v>
      </c>
      <c r="F155" s="1129" t="s">
        <v>5001</v>
      </c>
      <c r="G155" s="767"/>
      <c r="H155" s="10"/>
      <c r="I155" s="10"/>
      <c r="J155" s="13"/>
      <c r="K155" s="13"/>
      <c r="L155" s="14">
        <v>10000</v>
      </c>
      <c r="M155" s="10">
        <f t="shared" si="53"/>
        <v>10000</v>
      </c>
      <c r="N155" s="1137"/>
      <c r="O155" s="1137"/>
      <c r="P155" s="179"/>
      <c r="Q155" s="223"/>
      <c r="R155" s="223"/>
      <c r="S155" s="928"/>
      <c r="T155" s="928"/>
      <c r="U155" s="928"/>
      <c r="V155" s="1128"/>
      <c r="X155" s="16">
        <f t="shared" si="55"/>
        <v>10000</v>
      </c>
      <c r="Y155" s="16">
        <f t="shared" si="54"/>
        <v>0</v>
      </c>
    </row>
    <row r="156" spans="1:25" s="16" customFormat="1" ht="30">
      <c r="A156" s="236"/>
      <c r="B156" s="837"/>
      <c r="C156" s="1137" t="s">
        <v>665</v>
      </c>
      <c r="D156" s="13">
        <v>40836</v>
      </c>
      <c r="E156" s="1137" t="s">
        <v>5002</v>
      </c>
      <c r="F156" s="1129" t="s">
        <v>5001</v>
      </c>
      <c r="G156" s="767"/>
      <c r="H156" s="10"/>
      <c r="I156" s="10"/>
      <c r="J156" s="13"/>
      <c r="K156" s="13"/>
      <c r="L156" s="14">
        <v>18000</v>
      </c>
      <c r="M156" s="10">
        <f t="shared" si="53"/>
        <v>18000</v>
      </c>
      <c r="N156" s="1137"/>
      <c r="O156" s="1137"/>
      <c r="P156" s="179"/>
      <c r="Q156" s="223"/>
      <c r="R156" s="223"/>
      <c r="S156" s="928"/>
      <c r="T156" s="928"/>
      <c r="U156" s="928"/>
      <c r="V156" s="1128"/>
      <c r="X156" s="16">
        <f t="shared" si="55"/>
        <v>18000</v>
      </c>
      <c r="Y156" s="16">
        <f t="shared" si="54"/>
        <v>0</v>
      </c>
    </row>
    <row r="157" spans="1:25" s="16" customFormat="1" ht="30">
      <c r="A157" s="236"/>
      <c r="B157" s="837"/>
      <c r="C157" s="1137" t="s">
        <v>666</v>
      </c>
      <c r="D157" s="13">
        <v>40836</v>
      </c>
      <c r="E157" s="1137" t="s">
        <v>5002</v>
      </c>
      <c r="F157" s="1129" t="s">
        <v>5001</v>
      </c>
      <c r="G157" s="767"/>
      <c r="H157" s="10"/>
      <c r="I157" s="10"/>
      <c r="J157" s="13"/>
      <c r="K157" s="13"/>
      <c r="L157" s="14">
        <v>40000</v>
      </c>
      <c r="M157" s="10">
        <f t="shared" si="53"/>
        <v>40000</v>
      </c>
      <c r="N157" s="1137"/>
      <c r="O157" s="1137"/>
      <c r="P157" s="179"/>
      <c r="Q157" s="223"/>
      <c r="R157" s="223"/>
      <c r="S157" s="928"/>
      <c r="T157" s="928"/>
      <c r="U157" s="928"/>
      <c r="V157" s="1128"/>
      <c r="X157" s="16">
        <f t="shared" si="55"/>
        <v>40000</v>
      </c>
      <c r="Y157" s="16">
        <f t="shared" si="54"/>
        <v>0</v>
      </c>
    </row>
    <row r="158" spans="1:25" s="16" customFormat="1" ht="30">
      <c r="A158" s="236"/>
      <c r="B158" s="837"/>
      <c r="C158" s="1137" t="s">
        <v>667</v>
      </c>
      <c r="D158" s="13">
        <v>40836</v>
      </c>
      <c r="E158" s="1137" t="s">
        <v>5002</v>
      </c>
      <c r="F158" s="1129" t="s">
        <v>5001</v>
      </c>
      <c r="G158" s="767"/>
      <c r="H158" s="10"/>
      <c r="I158" s="10"/>
      <c r="J158" s="13"/>
      <c r="K158" s="13"/>
      <c r="L158" s="14">
        <v>54500</v>
      </c>
      <c r="M158" s="10">
        <f t="shared" si="53"/>
        <v>54500</v>
      </c>
      <c r="N158" s="1137"/>
      <c r="O158" s="1137"/>
      <c r="P158" s="179"/>
      <c r="Q158" s="223"/>
      <c r="R158" s="223"/>
      <c r="S158" s="928"/>
      <c r="T158" s="928"/>
      <c r="U158" s="928"/>
      <c r="V158" s="1128"/>
      <c r="X158" s="16">
        <f t="shared" si="55"/>
        <v>54500</v>
      </c>
      <c r="Y158" s="16">
        <f t="shared" si="54"/>
        <v>0</v>
      </c>
    </row>
    <row r="159" spans="1:25" s="16" customFormat="1" ht="30">
      <c r="A159" s="236"/>
      <c r="B159" s="837"/>
      <c r="C159" s="1137" t="s">
        <v>668</v>
      </c>
      <c r="D159" s="13">
        <v>40836</v>
      </c>
      <c r="E159" s="1137" t="s">
        <v>5002</v>
      </c>
      <c r="F159" s="1129" t="s">
        <v>5001</v>
      </c>
      <c r="G159" s="767"/>
      <c r="H159" s="10"/>
      <c r="I159" s="10"/>
      <c r="J159" s="13"/>
      <c r="K159" s="13"/>
      <c r="L159" s="14">
        <v>1500</v>
      </c>
      <c r="M159" s="10">
        <f t="shared" si="53"/>
        <v>1500</v>
      </c>
      <c r="N159" s="1137"/>
      <c r="O159" s="1137"/>
      <c r="P159" s="179"/>
      <c r="Q159" s="223"/>
      <c r="R159" s="223"/>
      <c r="S159" s="928"/>
      <c r="T159" s="928"/>
      <c r="U159" s="928"/>
      <c r="V159" s="1128"/>
      <c r="X159" s="16">
        <f t="shared" si="55"/>
        <v>1500</v>
      </c>
      <c r="Y159" s="16">
        <f t="shared" si="54"/>
        <v>0</v>
      </c>
    </row>
    <row r="160" spans="1:25" s="16" customFormat="1" ht="30">
      <c r="A160" s="236"/>
      <c r="B160" s="837"/>
      <c r="C160" s="1137" t="s">
        <v>669</v>
      </c>
      <c r="D160" s="13">
        <v>40836</v>
      </c>
      <c r="E160" s="1137" t="s">
        <v>5002</v>
      </c>
      <c r="F160" s="1129" t="s">
        <v>5001</v>
      </c>
      <c r="G160" s="767"/>
      <c r="H160" s="10"/>
      <c r="I160" s="10"/>
      <c r="J160" s="13"/>
      <c r="K160" s="13"/>
      <c r="L160" s="14">
        <v>3500</v>
      </c>
      <c r="M160" s="10">
        <f t="shared" si="53"/>
        <v>3500</v>
      </c>
      <c r="N160" s="1137"/>
      <c r="O160" s="1137"/>
      <c r="P160" s="179"/>
      <c r="Q160" s="223"/>
      <c r="R160" s="223"/>
      <c r="S160" s="928"/>
      <c r="T160" s="928"/>
      <c r="U160" s="928"/>
      <c r="V160" s="1128"/>
      <c r="X160" s="16">
        <f t="shared" si="55"/>
        <v>3500</v>
      </c>
      <c r="Y160" s="16">
        <f t="shared" si="54"/>
        <v>0</v>
      </c>
    </row>
    <row r="161" spans="1:25" s="16" customFormat="1" ht="30">
      <c r="A161" s="236"/>
      <c r="B161" s="837"/>
      <c r="C161" s="1137" t="s">
        <v>670</v>
      </c>
      <c r="D161" s="13">
        <v>40836</v>
      </c>
      <c r="E161" s="1137" t="s">
        <v>5002</v>
      </c>
      <c r="F161" s="1129" t="s">
        <v>5001</v>
      </c>
      <c r="G161" s="767"/>
      <c r="H161" s="10"/>
      <c r="I161" s="10"/>
      <c r="J161" s="13"/>
      <c r="K161" s="13"/>
      <c r="L161" s="14">
        <v>17000</v>
      </c>
      <c r="M161" s="10">
        <f t="shared" si="53"/>
        <v>17000</v>
      </c>
      <c r="N161" s="1137"/>
      <c r="O161" s="1137"/>
      <c r="P161" s="179"/>
      <c r="Q161" s="223"/>
      <c r="R161" s="223"/>
      <c r="S161" s="928"/>
      <c r="T161" s="928"/>
      <c r="U161" s="928"/>
      <c r="V161" s="1128"/>
      <c r="X161" s="16">
        <f t="shared" si="55"/>
        <v>17000</v>
      </c>
      <c r="Y161" s="16">
        <f t="shared" ref="Y161:Y192" si="56">X161-M161</f>
        <v>0</v>
      </c>
    </row>
    <row r="162" spans="1:25" s="16" customFormat="1" ht="30">
      <c r="A162" s="236"/>
      <c r="B162" s="837"/>
      <c r="C162" s="1137" t="s">
        <v>671</v>
      </c>
      <c r="D162" s="13">
        <v>40836</v>
      </c>
      <c r="E162" s="1137" t="s">
        <v>5002</v>
      </c>
      <c r="F162" s="1129" t="s">
        <v>5001</v>
      </c>
      <c r="G162" s="767"/>
      <c r="H162" s="10"/>
      <c r="I162" s="10"/>
      <c r="J162" s="13"/>
      <c r="K162" s="13"/>
      <c r="L162" s="14">
        <v>13000</v>
      </c>
      <c r="M162" s="10">
        <f t="shared" si="53"/>
        <v>13000</v>
      </c>
      <c r="N162" s="1137"/>
      <c r="O162" s="1137"/>
      <c r="P162" s="179"/>
      <c r="Q162" s="223"/>
      <c r="R162" s="223"/>
      <c r="S162" s="928"/>
      <c r="T162" s="928"/>
      <c r="U162" s="928"/>
      <c r="V162" s="1128"/>
      <c r="X162" s="16">
        <f t="shared" si="55"/>
        <v>13000</v>
      </c>
      <c r="Y162" s="16">
        <f t="shared" si="56"/>
        <v>0</v>
      </c>
    </row>
    <row r="163" spans="1:25" s="16" customFormat="1" ht="30">
      <c r="A163" s="236"/>
      <c r="B163" s="837"/>
      <c r="C163" s="1137" t="s">
        <v>672</v>
      </c>
      <c r="D163" s="13">
        <v>40836</v>
      </c>
      <c r="E163" s="1137" t="s">
        <v>5002</v>
      </c>
      <c r="F163" s="1129" t="s">
        <v>5001</v>
      </c>
      <c r="G163" s="767"/>
      <c r="H163" s="10"/>
      <c r="I163" s="10"/>
      <c r="J163" s="13"/>
      <c r="K163" s="13"/>
      <c r="L163" s="14">
        <v>7250</v>
      </c>
      <c r="M163" s="10">
        <f t="shared" si="53"/>
        <v>7250</v>
      </c>
      <c r="N163" s="1137"/>
      <c r="O163" s="1137"/>
      <c r="P163" s="179"/>
      <c r="Q163" s="223"/>
      <c r="R163" s="223"/>
      <c r="S163" s="928"/>
      <c r="T163" s="928"/>
      <c r="U163" s="928"/>
      <c r="V163" s="1128"/>
      <c r="X163" s="16">
        <f t="shared" si="55"/>
        <v>7250</v>
      </c>
      <c r="Y163" s="16">
        <f t="shared" si="56"/>
        <v>0</v>
      </c>
    </row>
    <row r="164" spans="1:25" s="16" customFormat="1" ht="30">
      <c r="A164" s="236"/>
      <c r="B164" s="837"/>
      <c r="C164" s="1137" t="s">
        <v>673</v>
      </c>
      <c r="D164" s="13">
        <v>40836</v>
      </c>
      <c r="E164" s="1137" t="s">
        <v>5002</v>
      </c>
      <c r="F164" s="1129" t="s">
        <v>5001</v>
      </c>
      <c r="G164" s="767"/>
      <c r="H164" s="10"/>
      <c r="I164" s="10"/>
      <c r="J164" s="13"/>
      <c r="K164" s="13"/>
      <c r="L164" s="14">
        <v>15500</v>
      </c>
      <c r="M164" s="10">
        <f t="shared" si="53"/>
        <v>15500</v>
      </c>
      <c r="N164" s="1137"/>
      <c r="O164" s="1137"/>
      <c r="P164" s="179"/>
      <c r="Q164" s="223"/>
      <c r="R164" s="223"/>
      <c r="S164" s="928"/>
      <c r="T164" s="928"/>
      <c r="U164" s="928"/>
      <c r="V164" s="1128"/>
      <c r="X164" s="16">
        <f t="shared" si="55"/>
        <v>15500</v>
      </c>
      <c r="Y164" s="16">
        <f t="shared" si="56"/>
        <v>0</v>
      </c>
    </row>
    <row r="165" spans="1:25" s="16" customFormat="1" ht="30">
      <c r="A165" s="236"/>
      <c r="B165" s="837"/>
      <c r="C165" s="1137" t="s">
        <v>674</v>
      </c>
      <c r="D165" s="13">
        <v>40836</v>
      </c>
      <c r="E165" s="1137" t="s">
        <v>5002</v>
      </c>
      <c r="F165" s="1129" t="s">
        <v>5001</v>
      </c>
      <c r="G165" s="767"/>
      <c r="H165" s="10"/>
      <c r="I165" s="10"/>
      <c r="J165" s="13"/>
      <c r="K165" s="13"/>
      <c r="L165" s="14">
        <v>1500</v>
      </c>
      <c r="M165" s="10">
        <f t="shared" si="53"/>
        <v>1500</v>
      </c>
      <c r="N165" s="1137"/>
      <c r="O165" s="1137"/>
      <c r="P165" s="179"/>
      <c r="Q165" s="223"/>
      <c r="R165" s="223"/>
      <c r="S165" s="928"/>
      <c r="T165" s="928"/>
      <c r="U165" s="928"/>
      <c r="V165" s="1128"/>
      <c r="X165" s="16">
        <f t="shared" si="55"/>
        <v>1500</v>
      </c>
      <c r="Y165" s="16">
        <f t="shared" si="56"/>
        <v>0</v>
      </c>
    </row>
    <row r="166" spans="1:25" s="16" customFormat="1" ht="30">
      <c r="A166" s="236"/>
      <c r="B166" s="837"/>
      <c r="C166" s="1137" t="s">
        <v>675</v>
      </c>
      <c r="D166" s="13">
        <v>40836</v>
      </c>
      <c r="E166" s="1137" t="s">
        <v>5002</v>
      </c>
      <c r="F166" s="1129" t="s">
        <v>5001</v>
      </c>
      <c r="G166" s="767"/>
      <c r="H166" s="10"/>
      <c r="I166" s="10"/>
      <c r="J166" s="13"/>
      <c r="K166" s="13"/>
      <c r="L166" s="14">
        <v>2000</v>
      </c>
      <c r="M166" s="10">
        <f t="shared" si="53"/>
        <v>2000</v>
      </c>
      <c r="N166" s="1137"/>
      <c r="O166" s="1137"/>
      <c r="P166" s="179"/>
      <c r="Q166" s="223"/>
      <c r="R166" s="223"/>
      <c r="S166" s="928"/>
      <c r="T166" s="928"/>
      <c r="U166" s="928"/>
      <c r="V166" s="1128"/>
      <c r="X166" s="16">
        <f t="shared" si="55"/>
        <v>2000</v>
      </c>
      <c r="Y166" s="16">
        <f t="shared" si="56"/>
        <v>0</v>
      </c>
    </row>
    <row r="167" spans="1:25" s="16" customFormat="1" ht="30">
      <c r="A167" s="236"/>
      <c r="B167" s="837"/>
      <c r="C167" s="1137" t="s">
        <v>676</v>
      </c>
      <c r="D167" s="13">
        <v>40836</v>
      </c>
      <c r="E167" s="1137" t="s">
        <v>5002</v>
      </c>
      <c r="F167" s="1129" t="s">
        <v>5001</v>
      </c>
      <c r="G167" s="767"/>
      <c r="H167" s="10"/>
      <c r="I167" s="10"/>
      <c r="J167" s="13"/>
      <c r="K167" s="13"/>
      <c r="L167" s="14">
        <v>500</v>
      </c>
      <c r="M167" s="10">
        <f t="shared" si="53"/>
        <v>500</v>
      </c>
      <c r="N167" s="1137"/>
      <c r="O167" s="1137"/>
      <c r="P167" s="179"/>
      <c r="Q167" s="223"/>
      <c r="R167" s="223"/>
      <c r="S167" s="928"/>
      <c r="T167" s="928"/>
      <c r="U167" s="928"/>
      <c r="V167" s="1128"/>
      <c r="X167" s="16">
        <f t="shared" si="55"/>
        <v>500</v>
      </c>
      <c r="Y167" s="16">
        <f t="shared" si="56"/>
        <v>0</v>
      </c>
    </row>
    <row r="168" spans="1:25" s="16" customFormat="1" ht="30">
      <c r="A168" s="236"/>
      <c r="B168" s="837"/>
      <c r="C168" s="1137" t="s">
        <v>677</v>
      </c>
      <c r="D168" s="13">
        <v>40836</v>
      </c>
      <c r="E168" s="1137" t="s">
        <v>5002</v>
      </c>
      <c r="F168" s="1129" t="s">
        <v>5001</v>
      </c>
      <c r="G168" s="767"/>
      <c r="H168" s="10"/>
      <c r="I168" s="10"/>
      <c r="J168" s="13"/>
      <c r="K168" s="13"/>
      <c r="L168" s="14">
        <v>10000</v>
      </c>
      <c r="M168" s="10">
        <f t="shared" si="53"/>
        <v>10000</v>
      </c>
      <c r="N168" s="1137"/>
      <c r="O168" s="1137"/>
      <c r="P168" s="179"/>
      <c r="Q168" s="223"/>
      <c r="R168" s="223"/>
      <c r="S168" s="928"/>
      <c r="T168" s="928"/>
      <c r="U168" s="928"/>
      <c r="V168" s="1128"/>
      <c r="X168" s="16">
        <f t="shared" si="55"/>
        <v>10000</v>
      </c>
      <c r="Y168" s="16">
        <f t="shared" si="56"/>
        <v>0</v>
      </c>
    </row>
    <row r="169" spans="1:25" s="16" customFormat="1" ht="30">
      <c r="A169" s="236"/>
      <c r="B169" s="837"/>
      <c r="C169" s="1137" t="s">
        <v>678</v>
      </c>
      <c r="D169" s="13">
        <v>40836</v>
      </c>
      <c r="E169" s="1137" t="s">
        <v>5002</v>
      </c>
      <c r="F169" s="1129" t="s">
        <v>5001</v>
      </c>
      <c r="G169" s="767"/>
      <c r="H169" s="10"/>
      <c r="I169" s="10"/>
      <c r="J169" s="13"/>
      <c r="K169" s="13"/>
      <c r="L169" s="14">
        <v>8500</v>
      </c>
      <c r="M169" s="10">
        <f t="shared" si="53"/>
        <v>8500</v>
      </c>
      <c r="N169" s="1137"/>
      <c r="O169" s="1137"/>
      <c r="P169" s="179"/>
      <c r="Q169" s="223"/>
      <c r="R169" s="223"/>
      <c r="S169" s="928"/>
      <c r="T169" s="928"/>
      <c r="U169" s="928"/>
      <c r="V169" s="1128"/>
      <c r="X169" s="16">
        <f t="shared" si="55"/>
        <v>8500</v>
      </c>
      <c r="Y169" s="16">
        <f t="shared" si="56"/>
        <v>0</v>
      </c>
    </row>
    <row r="170" spans="1:25" s="16" customFormat="1" ht="30">
      <c r="A170" s="236"/>
      <c r="B170" s="837"/>
      <c r="C170" s="1137" t="s">
        <v>679</v>
      </c>
      <c r="D170" s="13">
        <v>40836</v>
      </c>
      <c r="E170" s="1137" t="s">
        <v>5002</v>
      </c>
      <c r="F170" s="1129" t="s">
        <v>5001</v>
      </c>
      <c r="G170" s="767"/>
      <c r="H170" s="10"/>
      <c r="I170" s="10"/>
      <c r="J170" s="13"/>
      <c r="K170" s="13"/>
      <c r="L170" s="14">
        <v>6500</v>
      </c>
      <c r="M170" s="10">
        <f t="shared" si="53"/>
        <v>6500</v>
      </c>
      <c r="N170" s="1137"/>
      <c r="O170" s="1137"/>
      <c r="P170" s="179"/>
      <c r="Q170" s="223"/>
      <c r="R170" s="223"/>
      <c r="S170" s="928"/>
      <c r="T170" s="928"/>
      <c r="U170" s="928"/>
      <c r="V170" s="1128"/>
      <c r="X170" s="16">
        <f t="shared" si="55"/>
        <v>6500</v>
      </c>
      <c r="Y170" s="16">
        <f t="shared" si="56"/>
        <v>0</v>
      </c>
    </row>
    <row r="171" spans="1:25" s="16" customFormat="1" ht="30">
      <c r="A171" s="236"/>
      <c r="B171" s="837"/>
      <c r="C171" s="1137" t="s">
        <v>680</v>
      </c>
      <c r="D171" s="13">
        <v>40836</v>
      </c>
      <c r="E171" s="1137" t="s">
        <v>5002</v>
      </c>
      <c r="F171" s="1129" t="s">
        <v>5001</v>
      </c>
      <c r="G171" s="767"/>
      <c r="H171" s="10"/>
      <c r="I171" s="10"/>
      <c r="J171" s="13"/>
      <c r="K171" s="13"/>
      <c r="L171" s="14">
        <v>2500</v>
      </c>
      <c r="M171" s="10">
        <f t="shared" si="53"/>
        <v>2500</v>
      </c>
      <c r="N171" s="1137"/>
      <c r="O171" s="1137"/>
      <c r="P171" s="179"/>
      <c r="Q171" s="223"/>
      <c r="R171" s="223"/>
      <c r="S171" s="928"/>
      <c r="T171" s="928"/>
      <c r="U171" s="928"/>
      <c r="V171" s="1128"/>
      <c r="X171" s="16">
        <f t="shared" si="55"/>
        <v>2500</v>
      </c>
      <c r="Y171" s="16">
        <f t="shared" si="56"/>
        <v>0</v>
      </c>
    </row>
    <row r="172" spans="1:25" s="16" customFormat="1" ht="30">
      <c r="A172" s="236"/>
      <c r="B172" s="837"/>
      <c r="C172" s="1137" t="s">
        <v>681</v>
      </c>
      <c r="D172" s="13">
        <v>40836</v>
      </c>
      <c r="E172" s="1137" t="s">
        <v>5002</v>
      </c>
      <c r="F172" s="1129" t="s">
        <v>5001</v>
      </c>
      <c r="G172" s="767"/>
      <c r="H172" s="10"/>
      <c r="I172" s="10"/>
      <c r="J172" s="13"/>
      <c r="K172" s="13"/>
      <c r="L172" s="14">
        <v>10000</v>
      </c>
      <c r="M172" s="10">
        <f t="shared" si="53"/>
        <v>10000</v>
      </c>
      <c r="N172" s="1137"/>
      <c r="O172" s="1137"/>
      <c r="P172" s="179"/>
      <c r="Q172" s="223"/>
      <c r="R172" s="223"/>
      <c r="S172" s="928"/>
      <c r="T172" s="928"/>
      <c r="U172" s="928"/>
      <c r="V172" s="1128"/>
      <c r="X172" s="16">
        <f t="shared" si="55"/>
        <v>10000</v>
      </c>
      <c r="Y172" s="16">
        <f t="shared" si="56"/>
        <v>0</v>
      </c>
    </row>
    <row r="173" spans="1:25" s="16" customFormat="1" ht="30">
      <c r="A173" s="236"/>
      <c r="B173" s="837"/>
      <c r="C173" s="1137" t="s">
        <v>682</v>
      </c>
      <c r="D173" s="13">
        <v>40836</v>
      </c>
      <c r="E173" s="1137" t="s">
        <v>5002</v>
      </c>
      <c r="F173" s="1129" t="s">
        <v>5001</v>
      </c>
      <c r="G173" s="767"/>
      <c r="H173" s="10"/>
      <c r="I173" s="10"/>
      <c r="J173" s="13"/>
      <c r="K173" s="13"/>
      <c r="L173" s="14">
        <v>7000</v>
      </c>
      <c r="M173" s="10">
        <f t="shared" si="53"/>
        <v>7000</v>
      </c>
      <c r="N173" s="1137"/>
      <c r="O173" s="1137"/>
      <c r="P173" s="179"/>
      <c r="Q173" s="223"/>
      <c r="R173" s="223"/>
      <c r="S173" s="928"/>
      <c r="T173" s="928"/>
      <c r="U173" s="928"/>
      <c r="V173" s="1128"/>
      <c r="X173" s="16">
        <f t="shared" si="55"/>
        <v>7000</v>
      </c>
      <c r="Y173" s="16">
        <f t="shared" si="56"/>
        <v>0</v>
      </c>
    </row>
    <row r="174" spans="1:25" s="16" customFormat="1" ht="30">
      <c r="A174" s="236"/>
      <c r="B174" s="837"/>
      <c r="C174" s="1137" t="s">
        <v>683</v>
      </c>
      <c r="D174" s="13">
        <v>40836</v>
      </c>
      <c r="E174" s="1137" t="s">
        <v>5002</v>
      </c>
      <c r="F174" s="1129" t="s">
        <v>5001</v>
      </c>
      <c r="G174" s="767"/>
      <c r="H174" s="10"/>
      <c r="I174" s="10"/>
      <c r="J174" s="13"/>
      <c r="K174" s="13"/>
      <c r="L174" s="14">
        <v>22000</v>
      </c>
      <c r="M174" s="10">
        <f t="shared" si="53"/>
        <v>22000</v>
      </c>
      <c r="N174" s="1137"/>
      <c r="O174" s="1137"/>
      <c r="P174" s="179"/>
      <c r="Q174" s="223"/>
      <c r="R174" s="223"/>
      <c r="S174" s="928"/>
      <c r="T174" s="928"/>
      <c r="U174" s="928"/>
      <c r="V174" s="1128"/>
      <c r="X174" s="16">
        <f t="shared" si="55"/>
        <v>22000</v>
      </c>
      <c r="Y174" s="16">
        <f t="shared" si="56"/>
        <v>0</v>
      </c>
    </row>
    <row r="175" spans="1:25" s="16" customFormat="1" ht="30">
      <c r="A175" s="236"/>
      <c r="B175" s="837"/>
      <c r="C175" s="1137" t="s">
        <v>684</v>
      </c>
      <c r="D175" s="13">
        <v>40836</v>
      </c>
      <c r="E175" s="1137" t="s">
        <v>5002</v>
      </c>
      <c r="F175" s="1129" t="s">
        <v>5001</v>
      </c>
      <c r="G175" s="767"/>
      <c r="H175" s="10"/>
      <c r="I175" s="10"/>
      <c r="J175" s="13"/>
      <c r="K175" s="13"/>
      <c r="L175" s="14">
        <v>10000</v>
      </c>
      <c r="M175" s="10">
        <f t="shared" si="53"/>
        <v>10000</v>
      </c>
      <c r="N175" s="1137"/>
      <c r="O175" s="1137"/>
      <c r="P175" s="179"/>
      <c r="Q175" s="223"/>
      <c r="R175" s="223"/>
      <c r="S175" s="928"/>
      <c r="T175" s="928"/>
      <c r="U175" s="928"/>
      <c r="V175" s="1128"/>
      <c r="X175" s="16">
        <f t="shared" si="55"/>
        <v>10000</v>
      </c>
      <c r="Y175" s="16">
        <f t="shared" si="56"/>
        <v>0</v>
      </c>
    </row>
    <row r="176" spans="1:25" s="16" customFormat="1" ht="30">
      <c r="A176" s="236"/>
      <c r="B176" s="837"/>
      <c r="C176" s="1137" t="s">
        <v>685</v>
      </c>
      <c r="D176" s="13">
        <v>40836</v>
      </c>
      <c r="E176" s="1137" t="s">
        <v>5002</v>
      </c>
      <c r="F176" s="1129" t="s">
        <v>5001</v>
      </c>
      <c r="G176" s="767"/>
      <c r="H176" s="10"/>
      <c r="I176" s="10"/>
      <c r="J176" s="13"/>
      <c r="K176" s="13"/>
      <c r="L176" s="14">
        <v>7337</v>
      </c>
      <c r="M176" s="10">
        <f t="shared" si="53"/>
        <v>7337</v>
      </c>
      <c r="N176" s="1137"/>
      <c r="O176" s="1137"/>
      <c r="P176" s="179"/>
      <c r="Q176" s="223"/>
      <c r="R176" s="223"/>
      <c r="S176" s="928"/>
      <c r="T176" s="928"/>
      <c r="U176" s="928"/>
      <c r="V176" s="1128"/>
      <c r="X176" s="16">
        <f t="shared" si="55"/>
        <v>7337</v>
      </c>
      <c r="Y176" s="16">
        <f t="shared" si="56"/>
        <v>0</v>
      </c>
    </row>
    <row r="177" spans="1:25" s="16" customFormat="1" ht="30">
      <c r="A177" s="236"/>
      <c r="B177" s="837"/>
      <c r="C177" s="1137" t="s">
        <v>686</v>
      </c>
      <c r="D177" s="13">
        <v>40836</v>
      </c>
      <c r="E177" s="1137" t="s">
        <v>5002</v>
      </c>
      <c r="F177" s="1129" t="s">
        <v>5001</v>
      </c>
      <c r="G177" s="767"/>
      <c r="H177" s="10"/>
      <c r="I177" s="10"/>
      <c r="J177" s="13"/>
      <c r="K177" s="13"/>
      <c r="L177" s="14">
        <v>79400</v>
      </c>
      <c r="M177" s="10">
        <f t="shared" si="53"/>
        <v>79400</v>
      </c>
      <c r="N177" s="1137"/>
      <c r="O177" s="1137"/>
      <c r="P177" s="179"/>
      <c r="Q177" s="223"/>
      <c r="R177" s="223"/>
      <c r="S177" s="928"/>
      <c r="T177" s="928"/>
      <c r="U177" s="928"/>
      <c r="V177" s="1128"/>
      <c r="X177" s="16">
        <f t="shared" si="55"/>
        <v>79400</v>
      </c>
      <c r="Y177" s="16">
        <f t="shared" si="56"/>
        <v>0</v>
      </c>
    </row>
    <row r="178" spans="1:25" s="16" customFormat="1" ht="30">
      <c r="A178" s="236"/>
      <c r="B178" s="837"/>
      <c r="C178" s="1137" t="s">
        <v>687</v>
      </c>
      <c r="D178" s="13">
        <v>40836</v>
      </c>
      <c r="E178" s="1137" t="s">
        <v>5002</v>
      </c>
      <c r="F178" s="1129" t="s">
        <v>5001</v>
      </c>
      <c r="G178" s="767"/>
      <c r="H178" s="10"/>
      <c r="I178" s="10"/>
      <c r="J178" s="13"/>
      <c r="K178" s="13"/>
      <c r="L178" s="14">
        <v>29000</v>
      </c>
      <c r="M178" s="10">
        <f t="shared" si="53"/>
        <v>29000</v>
      </c>
      <c r="N178" s="1137"/>
      <c r="O178" s="1137"/>
      <c r="P178" s="179"/>
      <c r="Q178" s="223"/>
      <c r="R178" s="223"/>
      <c r="S178" s="928"/>
      <c r="T178" s="928"/>
      <c r="U178" s="928"/>
      <c r="V178" s="1128"/>
      <c r="X178" s="16">
        <f t="shared" si="55"/>
        <v>29000</v>
      </c>
      <c r="Y178" s="16">
        <f t="shared" si="56"/>
        <v>0</v>
      </c>
    </row>
    <row r="179" spans="1:25" s="16" customFormat="1" ht="30">
      <c r="A179" s="236"/>
      <c r="B179" s="837"/>
      <c r="C179" s="1137" t="s">
        <v>688</v>
      </c>
      <c r="D179" s="13">
        <v>40836</v>
      </c>
      <c r="E179" s="1137" t="s">
        <v>5002</v>
      </c>
      <c r="F179" s="1129" t="s">
        <v>5001</v>
      </c>
      <c r="G179" s="767"/>
      <c r="H179" s="10"/>
      <c r="I179" s="10"/>
      <c r="J179" s="13"/>
      <c r="K179" s="13"/>
      <c r="L179" s="14">
        <v>500</v>
      </c>
      <c r="M179" s="10">
        <f t="shared" si="53"/>
        <v>500</v>
      </c>
      <c r="N179" s="1137"/>
      <c r="O179" s="1137"/>
      <c r="P179" s="179"/>
      <c r="Q179" s="223"/>
      <c r="R179" s="223"/>
      <c r="S179" s="928"/>
      <c r="T179" s="928"/>
      <c r="U179" s="928"/>
      <c r="V179" s="1128"/>
      <c r="X179" s="16">
        <f t="shared" si="55"/>
        <v>500</v>
      </c>
      <c r="Y179" s="16">
        <f t="shared" si="56"/>
        <v>0</v>
      </c>
    </row>
    <row r="180" spans="1:25" s="16" customFormat="1" ht="30">
      <c r="A180" s="236"/>
      <c r="B180" s="837"/>
      <c r="C180" s="1137" t="s">
        <v>689</v>
      </c>
      <c r="D180" s="13">
        <v>40836</v>
      </c>
      <c r="E180" s="1137" t="s">
        <v>5002</v>
      </c>
      <c r="F180" s="1129" t="s">
        <v>5001</v>
      </c>
      <c r="G180" s="767"/>
      <c r="H180" s="10"/>
      <c r="I180" s="10"/>
      <c r="J180" s="13"/>
      <c r="K180" s="13"/>
      <c r="L180" s="14">
        <v>600</v>
      </c>
      <c r="M180" s="10">
        <f t="shared" si="53"/>
        <v>600</v>
      </c>
      <c r="N180" s="1137"/>
      <c r="O180" s="1137"/>
      <c r="P180" s="179"/>
      <c r="Q180" s="223"/>
      <c r="R180" s="223"/>
      <c r="S180" s="928"/>
      <c r="T180" s="928"/>
      <c r="U180" s="928"/>
      <c r="V180" s="1128"/>
      <c r="X180" s="16">
        <f t="shared" si="55"/>
        <v>600</v>
      </c>
      <c r="Y180" s="16">
        <f t="shared" si="56"/>
        <v>0</v>
      </c>
    </row>
    <row r="181" spans="1:25" s="16" customFormat="1" ht="30">
      <c r="A181" s="236"/>
      <c r="B181" s="837"/>
      <c r="C181" s="1137" t="s">
        <v>690</v>
      </c>
      <c r="D181" s="13">
        <v>40836</v>
      </c>
      <c r="E181" s="1137" t="s">
        <v>5002</v>
      </c>
      <c r="F181" s="1129" t="s">
        <v>5001</v>
      </c>
      <c r="G181" s="767"/>
      <c r="H181" s="10"/>
      <c r="I181" s="10"/>
      <c r="J181" s="13"/>
      <c r="K181" s="13"/>
      <c r="L181" s="14">
        <v>21000</v>
      </c>
      <c r="M181" s="10">
        <f t="shared" si="53"/>
        <v>21000</v>
      </c>
      <c r="N181" s="1137"/>
      <c r="O181" s="1137"/>
      <c r="P181" s="179"/>
      <c r="Q181" s="223"/>
      <c r="R181" s="223"/>
      <c r="S181" s="928"/>
      <c r="T181" s="928"/>
      <c r="U181" s="928"/>
      <c r="V181" s="1128"/>
      <c r="X181" s="16">
        <f t="shared" si="55"/>
        <v>21000</v>
      </c>
      <c r="Y181" s="16">
        <f t="shared" si="56"/>
        <v>0</v>
      </c>
    </row>
    <row r="182" spans="1:25" s="16" customFormat="1" ht="30">
      <c r="A182" s="236"/>
      <c r="B182" s="837"/>
      <c r="C182" s="1137" t="s">
        <v>691</v>
      </c>
      <c r="D182" s="13">
        <v>40836</v>
      </c>
      <c r="E182" s="1137" t="s">
        <v>5002</v>
      </c>
      <c r="F182" s="1129" t="s">
        <v>5001</v>
      </c>
      <c r="G182" s="767"/>
      <c r="H182" s="10"/>
      <c r="I182" s="10"/>
      <c r="J182" s="13"/>
      <c r="K182" s="13"/>
      <c r="L182" s="14">
        <v>19200</v>
      </c>
      <c r="M182" s="10">
        <f t="shared" si="53"/>
        <v>19200</v>
      </c>
      <c r="N182" s="1137"/>
      <c r="O182" s="1137"/>
      <c r="P182" s="179"/>
      <c r="Q182" s="223"/>
      <c r="R182" s="223"/>
      <c r="S182" s="928"/>
      <c r="T182" s="928"/>
      <c r="U182" s="928"/>
      <c r="V182" s="1128"/>
      <c r="X182" s="16">
        <f t="shared" si="55"/>
        <v>19200</v>
      </c>
      <c r="Y182" s="16">
        <f t="shared" si="56"/>
        <v>0</v>
      </c>
    </row>
    <row r="183" spans="1:25" s="16" customFormat="1" ht="30">
      <c r="A183" s="236"/>
      <c r="B183" s="837"/>
      <c r="C183" s="1137" t="s">
        <v>692</v>
      </c>
      <c r="D183" s="13">
        <v>40836</v>
      </c>
      <c r="E183" s="1137" t="s">
        <v>5002</v>
      </c>
      <c r="F183" s="1129" t="s">
        <v>5001</v>
      </c>
      <c r="G183" s="767"/>
      <c r="H183" s="10"/>
      <c r="I183" s="10"/>
      <c r="J183" s="13"/>
      <c r="K183" s="13"/>
      <c r="L183" s="14">
        <v>24000</v>
      </c>
      <c r="M183" s="10">
        <f t="shared" si="53"/>
        <v>24000</v>
      </c>
      <c r="N183" s="1137"/>
      <c r="O183" s="1137"/>
      <c r="P183" s="179"/>
      <c r="Q183" s="223"/>
      <c r="R183" s="223"/>
      <c r="S183" s="928"/>
      <c r="T183" s="928"/>
      <c r="U183" s="928"/>
      <c r="V183" s="1128"/>
      <c r="X183" s="16">
        <f t="shared" si="55"/>
        <v>24000</v>
      </c>
      <c r="Y183" s="16">
        <f t="shared" si="56"/>
        <v>0</v>
      </c>
    </row>
    <row r="184" spans="1:25" s="16" customFormat="1" ht="30">
      <c r="A184" s="236"/>
      <c r="B184" s="837"/>
      <c r="C184" s="1137" t="s">
        <v>693</v>
      </c>
      <c r="D184" s="13">
        <v>40836</v>
      </c>
      <c r="E184" s="1137" t="s">
        <v>5002</v>
      </c>
      <c r="F184" s="1129" t="s">
        <v>5001</v>
      </c>
      <c r="G184" s="767"/>
      <c r="H184" s="10"/>
      <c r="I184" s="10"/>
      <c r="J184" s="13"/>
      <c r="K184" s="13"/>
      <c r="L184" s="14">
        <v>500</v>
      </c>
      <c r="M184" s="10">
        <f t="shared" si="53"/>
        <v>500</v>
      </c>
      <c r="N184" s="1137"/>
      <c r="O184" s="1137"/>
      <c r="P184" s="179"/>
      <c r="Q184" s="223"/>
      <c r="R184" s="223"/>
      <c r="S184" s="928"/>
      <c r="T184" s="928"/>
      <c r="U184" s="928"/>
      <c r="V184" s="1128"/>
      <c r="X184" s="16">
        <f t="shared" si="55"/>
        <v>500</v>
      </c>
      <c r="Y184" s="16">
        <f t="shared" si="56"/>
        <v>0</v>
      </c>
    </row>
    <row r="185" spans="1:25" s="16" customFormat="1" ht="30">
      <c r="A185" s="236"/>
      <c r="B185" s="837"/>
      <c r="C185" s="1137" t="s">
        <v>694</v>
      </c>
      <c r="D185" s="13">
        <v>40836</v>
      </c>
      <c r="E185" s="1137" t="s">
        <v>5002</v>
      </c>
      <c r="F185" s="1129" t="s">
        <v>5001</v>
      </c>
      <c r="G185" s="767"/>
      <c r="H185" s="10"/>
      <c r="I185" s="10"/>
      <c r="J185" s="13"/>
      <c r="K185" s="13"/>
      <c r="L185" s="14">
        <v>57000</v>
      </c>
      <c r="M185" s="10">
        <f t="shared" si="53"/>
        <v>57000</v>
      </c>
      <c r="N185" s="1137"/>
      <c r="O185" s="1137"/>
      <c r="P185" s="179"/>
      <c r="Q185" s="223"/>
      <c r="R185" s="223"/>
      <c r="S185" s="928"/>
      <c r="T185" s="928"/>
      <c r="U185" s="928"/>
      <c r="V185" s="1128"/>
      <c r="X185" s="16">
        <f t="shared" si="55"/>
        <v>57000</v>
      </c>
      <c r="Y185" s="16">
        <f t="shared" si="56"/>
        <v>0</v>
      </c>
    </row>
    <row r="186" spans="1:25" s="16" customFormat="1" ht="30">
      <c r="A186" s="236"/>
      <c r="B186" s="837"/>
      <c r="C186" s="1137" t="s">
        <v>695</v>
      </c>
      <c r="D186" s="13">
        <v>40836</v>
      </c>
      <c r="E186" s="1137" t="s">
        <v>5002</v>
      </c>
      <c r="F186" s="1129" t="s">
        <v>5001</v>
      </c>
      <c r="G186" s="767"/>
      <c r="H186" s="10"/>
      <c r="I186" s="10"/>
      <c r="J186" s="13"/>
      <c r="K186" s="13"/>
      <c r="L186" s="14">
        <v>5750</v>
      </c>
      <c r="M186" s="10">
        <f t="shared" si="53"/>
        <v>5750</v>
      </c>
      <c r="N186" s="1137"/>
      <c r="O186" s="1137"/>
      <c r="P186" s="179"/>
      <c r="Q186" s="223"/>
      <c r="R186" s="223"/>
      <c r="S186" s="928"/>
      <c r="T186" s="928"/>
      <c r="U186" s="928"/>
      <c r="V186" s="1128"/>
      <c r="X186" s="16">
        <f t="shared" si="55"/>
        <v>5750</v>
      </c>
      <c r="Y186" s="16">
        <f t="shared" si="56"/>
        <v>0</v>
      </c>
    </row>
    <row r="187" spans="1:25" s="16" customFormat="1" ht="30">
      <c r="A187" s="236"/>
      <c r="B187" s="837"/>
      <c r="C187" s="1137" t="s">
        <v>696</v>
      </c>
      <c r="D187" s="13">
        <v>40836</v>
      </c>
      <c r="E187" s="1137" t="s">
        <v>5002</v>
      </c>
      <c r="F187" s="1129" t="s">
        <v>5001</v>
      </c>
      <c r="G187" s="767"/>
      <c r="H187" s="10"/>
      <c r="I187" s="10"/>
      <c r="J187" s="13"/>
      <c r="K187" s="13"/>
      <c r="L187" s="14">
        <v>10000</v>
      </c>
      <c r="M187" s="10">
        <f t="shared" si="53"/>
        <v>10000</v>
      </c>
      <c r="N187" s="1137"/>
      <c r="O187" s="1137"/>
      <c r="P187" s="179"/>
      <c r="Q187" s="223"/>
      <c r="R187" s="223"/>
      <c r="S187" s="928"/>
      <c r="T187" s="928"/>
      <c r="U187" s="928"/>
      <c r="V187" s="1128"/>
      <c r="X187" s="16">
        <f t="shared" si="55"/>
        <v>10000</v>
      </c>
      <c r="Y187" s="16">
        <f t="shared" si="56"/>
        <v>0</v>
      </c>
    </row>
    <row r="188" spans="1:25" s="16" customFormat="1" ht="30">
      <c r="A188" s="236"/>
      <c r="B188" s="837"/>
      <c r="C188" s="1137" t="s">
        <v>697</v>
      </c>
      <c r="D188" s="13">
        <v>40836</v>
      </c>
      <c r="E188" s="1137" t="s">
        <v>5002</v>
      </c>
      <c r="F188" s="1129" t="s">
        <v>5001</v>
      </c>
      <c r="G188" s="767"/>
      <c r="H188" s="10"/>
      <c r="I188" s="10"/>
      <c r="J188" s="13"/>
      <c r="K188" s="13"/>
      <c r="L188" s="14">
        <v>2000</v>
      </c>
      <c r="M188" s="10">
        <f t="shared" si="53"/>
        <v>2000</v>
      </c>
      <c r="N188" s="1137"/>
      <c r="O188" s="1137"/>
      <c r="P188" s="179"/>
      <c r="Q188" s="223"/>
      <c r="R188" s="223"/>
      <c r="S188" s="928"/>
      <c r="T188" s="928"/>
      <c r="U188" s="928"/>
      <c r="V188" s="1128"/>
      <c r="X188" s="16">
        <f t="shared" si="55"/>
        <v>2000</v>
      </c>
      <c r="Y188" s="16">
        <f t="shared" si="56"/>
        <v>0</v>
      </c>
    </row>
    <row r="189" spans="1:25" s="16" customFormat="1" ht="15">
      <c r="A189" s="236"/>
      <c r="B189" s="837"/>
      <c r="C189" s="1137"/>
      <c r="D189" s="412"/>
      <c r="E189" s="1137"/>
      <c r="F189" s="767"/>
      <c r="G189" s="767"/>
      <c r="H189" s="10"/>
      <c r="I189" s="10"/>
      <c r="J189" s="13"/>
      <c r="K189" s="13"/>
      <c r="L189" s="14"/>
      <c r="M189" s="10">
        <f t="shared" si="53"/>
        <v>0</v>
      </c>
      <c r="N189" s="1137"/>
      <c r="O189" s="1137"/>
      <c r="P189" s="179"/>
      <c r="Q189" s="223"/>
      <c r="R189" s="223"/>
      <c r="S189" s="928"/>
      <c r="T189" s="928"/>
      <c r="U189" s="928"/>
      <c r="V189" s="413" t="s">
        <v>61</v>
      </c>
      <c r="X189" s="16">
        <f t="shared" si="55"/>
        <v>0</v>
      </c>
      <c r="Y189" s="16">
        <f t="shared" si="56"/>
        <v>0</v>
      </c>
    </row>
    <row r="190" spans="1:25" s="9" customFormat="1" ht="30">
      <c r="A190" s="697"/>
      <c r="B190" s="837" t="s">
        <v>698</v>
      </c>
      <c r="C190" s="1137" t="s">
        <v>699</v>
      </c>
      <c r="D190" s="13">
        <v>40834</v>
      </c>
      <c r="E190" s="1137" t="s">
        <v>5002</v>
      </c>
      <c r="F190" s="1129" t="s">
        <v>5001</v>
      </c>
      <c r="G190" s="1129"/>
      <c r="H190" s="10"/>
      <c r="I190" s="10"/>
      <c r="J190" s="13"/>
      <c r="K190" s="13"/>
      <c r="L190" s="14">
        <v>2685800</v>
      </c>
      <c r="M190" s="10">
        <f t="shared" si="53"/>
        <v>2685800</v>
      </c>
      <c r="N190" s="1137" t="s">
        <v>517</v>
      </c>
      <c r="O190" s="117"/>
      <c r="P190" s="771"/>
      <c r="Q190" s="93"/>
      <c r="R190" s="93"/>
      <c r="S190" s="876"/>
      <c r="T190" s="876"/>
      <c r="U190" s="876"/>
      <c r="V190" s="8"/>
      <c r="W190" s="407"/>
      <c r="X190" s="16">
        <f t="shared" si="55"/>
        <v>2685800</v>
      </c>
      <c r="Y190" s="16">
        <f t="shared" si="56"/>
        <v>0</v>
      </c>
    </row>
    <row r="191" spans="1:25" s="16" customFormat="1" ht="15">
      <c r="A191" s="236"/>
      <c r="B191" s="1125" t="s">
        <v>25</v>
      </c>
      <c r="C191" s="1140"/>
      <c r="D191" s="94"/>
      <c r="E191" s="1137"/>
      <c r="F191" s="408"/>
      <c r="G191" s="393"/>
      <c r="H191" s="405"/>
      <c r="I191" s="406">
        <v>270000</v>
      </c>
      <c r="J191" s="384">
        <f>SUM(J192:J195)</f>
        <v>0</v>
      </c>
      <c r="K191" s="384">
        <f t="shared" ref="K191:M191" si="57">SUM(K192:K195)</f>
        <v>270000</v>
      </c>
      <c r="L191" s="384">
        <f t="shared" si="57"/>
        <v>0</v>
      </c>
      <c r="M191" s="384">
        <f t="shared" si="57"/>
        <v>270000</v>
      </c>
      <c r="N191" s="6"/>
      <c r="O191" s="1136"/>
      <c r="Q191" s="384">
        <f t="shared" ref="Q191:R191" si="58">SUM(Q192:Q195)</f>
        <v>270000</v>
      </c>
      <c r="R191" s="384">
        <f t="shared" si="58"/>
        <v>149170</v>
      </c>
      <c r="S191" s="876"/>
      <c r="T191" s="876"/>
      <c r="U191" s="876"/>
      <c r="V191" s="1137" t="s">
        <v>517</v>
      </c>
      <c r="X191" s="16">
        <f t="shared" si="55"/>
        <v>270000</v>
      </c>
      <c r="Y191" s="16">
        <f t="shared" si="56"/>
        <v>0</v>
      </c>
    </row>
    <row r="192" spans="1:25" s="16" customFormat="1" ht="95.25" customHeight="1">
      <c r="A192" s="1139" t="s">
        <v>4606</v>
      </c>
      <c r="B192" s="842" t="s">
        <v>700</v>
      </c>
      <c r="C192" s="1137" t="s">
        <v>702</v>
      </c>
      <c r="D192" s="13">
        <v>40834</v>
      </c>
      <c r="E192" s="1137" t="s">
        <v>5004</v>
      </c>
      <c r="F192" s="12" t="s">
        <v>5003</v>
      </c>
      <c r="G192" s="12" t="s">
        <v>701</v>
      </c>
      <c r="H192" s="10"/>
      <c r="I192" s="10"/>
      <c r="J192" s="14"/>
      <c r="K192" s="14">
        <v>270000</v>
      </c>
      <c r="L192" s="14"/>
      <c r="M192" s="14">
        <f>SUM(J192:L192)</f>
        <v>270000</v>
      </c>
      <c r="N192" s="10"/>
      <c r="O192" s="1136"/>
      <c r="P192" s="32" t="s">
        <v>102</v>
      </c>
      <c r="Q192" s="93"/>
      <c r="R192" s="93"/>
      <c r="S192" s="876"/>
      <c r="T192" s="876"/>
      <c r="U192" s="876"/>
      <c r="V192" s="1137" t="s">
        <v>517</v>
      </c>
      <c r="W192" s="14" t="s">
        <v>12</v>
      </c>
      <c r="X192" s="16">
        <f t="shared" si="55"/>
        <v>270000</v>
      </c>
      <c r="Y192" s="16">
        <f t="shared" si="56"/>
        <v>0</v>
      </c>
    </row>
    <row r="193" spans="1:25" s="16" customFormat="1" ht="93" customHeight="1">
      <c r="A193" s="236"/>
      <c r="B193" s="842" t="s">
        <v>703</v>
      </c>
      <c r="C193" s="1137" t="s">
        <v>704</v>
      </c>
      <c r="D193" s="13">
        <v>40868</v>
      </c>
      <c r="E193" s="1138" t="s">
        <v>5004</v>
      </c>
      <c r="F193" s="12" t="s">
        <v>5003</v>
      </c>
      <c r="G193" s="12" t="s">
        <v>701</v>
      </c>
      <c r="H193" s="10"/>
      <c r="I193" s="10"/>
      <c r="J193" s="14"/>
      <c r="K193" s="14">
        <v>-270000</v>
      </c>
      <c r="L193" s="14"/>
      <c r="M193" s="14">
        <f>SUM(J193:L193)</f>
        <v>-270000</v>
      </c>
      <c r="N193" s="10"/>
      <c r="O193" s="1136"/>
      <c r="P193" s="32" t="s">
        <v>102</v>
      </c>
      <c r="Q193" s="93"/>
      <c r="R193" s="93"/>
      <c r="S193" s="876"/>
      <c r="T193" s="876"/>
      <c r="U193" s="876"/>
      <c r="V193" s="1137"/>
      <c r="W193" s="14" t="s">
        <v>12</v>
      </c>
      <c r="X193" s="16">
        <f t="shared" si="55"/>
        <v>-270000</v>
      </c>
      <c r="Y193" s="16">
        <f t="shared" ref="Y193:Y217" si="59">X193-M193</f>
        <v>0</v>
      </c>
    </row>
    <row r="194" spans="1:25" s="16" customFormat="1" ht="15">
      <c r="A194" s="236"/>
      <c r="B194" s="843" t="s">
        <v>705</v>
      </c>
      <c r="C194" s="1137"/>
      <c r="D194" s="13"/>
      <c r="E194" s="1137"/>
      <c r="F194" s="12"/>
      <c r="G194" s="341"/>
      <c r="H194" s="6">
        <v>1314031</v>
      </c>
      <c r="I194" s="6"/>
      <c r="J194" s="6"/>
      <c r="K194" s="6"/>
      <c r="L194" s="6"/>
      <c r="M194" s="6"/>
      <c r="N194" s="6">
        <f>H194+M194</f>
        <v>1314031</v>
      </c>
      <c r="O194" s="1136"/>
      <c r="Q194" s="93"/>
      <c r="R194" s="93"/>
      <c r="S194" s="876"/>
      <c r="T194" s="876"/>
      <c r="U194" s="876"/>
      <c r="V194" s="1137" t="s">
        <v>517</v>
      </c>
      <c r="X194" s="16">
        <f t="shared" si="55"/>
        <v>0</v>
      </c>
      <c r="Y194" s="16">
        <f t="shared" si="59"/>
        <v>0</v>
      </c>
    </row>
    <row r="195" spans="1:25" s="16" customFormat="1" ht="45">
      <c r="A195" s="236"/>
      <c r="B195" s="842" t="s">
        <v>706</v>
      </c>
      <c r="C195" s="1137" t="s">
        <v>707</v>
      </c>
      <c r="D195" s="13">
        <v>40868</v>
      </c>
      <c r="E195" s="1137" t="s">
        <v>5005</v>
      </c>
      <c r="F195" s="12" t="s">
        <v>543</v>
      </c>
      <c r="G195" s="341" t="s">
        <v>543</v>
      </c>
      <c r="H195" s="10"/>
      <c r="I195" s="10"/>
      <c r="J195" s="14"/>
      <c r="K195" s="14">
        <v>270000</v>
      </c>
      <c r="L195" s="14"/>
      <c r="M195" s="14">
        <f>SUM(J195:L195)</f>
        <v>270000</v>
      </c>
      <c r="N195" s="10"/>
      <c r="O195" s="1136"/>
      <c r="P195" s="1137" t="s">
        <v>103</v>
      </c>
      <c r="Q195" s="93">
        <v>270000</v>
      </c>
      <c r="R195" s="93">
        <f>104153+45017</f>
        <v>149170</v>
      </c>
      <c r="S195" s="414" t="s">
        <v>708</v>
      </c>
      <c r="T195" s="414"/>
      <c r="U195" s="415" t="s">
        <v>5795</v>
      </c>
      <c r="V195" s="1137"/>
      <c r="W195" s="14" t="s">
        <v>18</v>
      </c>
      <c r="X195" s="16">
        <f t="shared" si="55"/>
        <v>270000</v>
      </c>
      <c r="Y195" s="16">
        <f t="shared" si="59"/>
        <v>0</v>
      </c>
    </row>
    <row r="196" spans="1:25" s="16" customFormat="1" ht="15" hidden="1">
      <c r="A196" s="236"/>
      <c r="B196" s="844"/>
      <c r="C196" s="1137"/>
      <c r="D196" s="13"/>
      <c r="E196" s="1137"/>
      <c r="F196" s="12"/>
      <c r="G196" s="341"/>
      <c r="H196" s="10"/>
      <c r="I196" s="10"/>
      <c r="J196" s="14"/>
      <c r="K196" s="14"/>
      <c r="L196" s="14"/>
      <c r="M196" s="14"/>
      <c r="N196" s="10"/>
      <c r="O196" s="1136"/>
      <c r="P196" s="1137"/>
      <c r="Q196" s="93"/>
      <c r="R196" s="93"/>
      <c r="S196" s="883"/>
      <c r="T196" s="883"/>
      <c r="U196" s="883"/>
      <c r="V196" s="1137"/>
      <c r="W196" s="14"/>
      <c r="X196" s="16">
        <f t="shared" si="55"/>
        <v>0</v>
      </c>
      <c r="Y196" s="16">
        <f t="shared" si="59"/>
        <v>0</v>
      </c>
    </row>
    <row r="197" spans="1:25" s="16" customFormat="1" ht="60" hidden="1">
      <c r="A197" s="236"/>
      <c r="B197" s="844"/>
      <c r="C197" s="1137"/>
      <c r="D197" s="13"/>
      <c r="E197" s="1137"/>
      <c r="F197" s="12"/>
      <c r="G197" s="341"/>
      <c r="H197" s="10"/>
      <c r="I197" s="10"/>
      <c r="J197" s="14"/>
      <c r="K197" s="14"/>
      <c r="L197" s="14"/>
      <c r="M197" s="14"/>
      <c r="N197" s="10"/>
      <c r="O197" s="1136"/>
      <c r="P197" s="1137"/>
      <c r="Q197" s="93"/>
      <c r="R197" s="93"/>
      <c r="S197" s="884" t="s">
        <v>709</v>
      </c>
      <c r="T197" s="884"/>
      <c r="U197" s="884" t="s">
        <v>710</v>
      </c>
      <c r="V197" s="1137"/>
      <c r="W197" s="14"/>
      <c r="X197" s="16">
        <f t="shared" si="55"/>
        <v>0</v>
      </c>
      <c r="Y197" s="16">
        <f t="shared" si="59"/>
        <v>0</v>
      </c>
    </row>
    <row r="198" spans="1:25" s="16" customFormat="1" ht="60" hidden="1">
      <c r="A198" s="236"/>
      <c r="B198" s="844"/>
      <c r="C198" s="1137"/>
      <c r="D198" s="13"/>
      <c r="E198" s="1137"/>
      <c r="F198" s="12"/>
      <c r="G198" s="341"/>
      <c r="H198" s="10"/>
      <c r="I198" s="10"/>
      <c r="J198" s="14"/>
      <c r="K198" s="14"/>
      <c r="L198" s="14"/>
      <c r="M198" s="14"/>
      <c r="N198" s="10"/>
      <c r="O198" s="1136"/>
      <c r="P198" s="1137"/>
      <c r="Q198" s="93"/>
      <c r="R198" s="93"/>
      <c r="S198" s="884" t="s">
        <v>711</v>
      </c>
      <c r="T198" s="884"/>
      <c r="U198" s="884" t="s">
        <v>712</v>
      </c>
      <c r="V198" s="1137"/>
      <c r="W198" s="14"/>
      <c r="X198" s="16">
        <f t="shared" si="55"/>
        <v>0</v>
      </c>
      <c r="Y198" s="16">
        <f t="shared" si="59"/>
        <v>0</v>
      </c>
    </row>
    <row r="199" spans="1:25" s="16" customFormat="1" ht="15" hidden="1">
      <c r="A199" s="236"/>
      <c r="B199" s="844"/>
      <c r="C199" s="1137"/>
      <c r="D199" s="13"/>
      <c r="E199" s="1137"/>
      <c r="F199" s="12"/>
      <c r="G199" s="341"/>
      <c r="H199" s="10"/>
      <c r="I199" s="10"/>
      <c r="J199" s="14"/>
      <c r="K199" s="14"/>
      <c r="L199" s="14"/>
      <c r="M199" s="14"/>
      <c r="N199" s="10"/>
      <c r="O199" s="1136"/>
      <c r="P199" s="1137"/>
      <c r="Q199" s="93"/>
      <c r="R199" s="93"/>
      <c r="S199" s="883"/>
      <c r="T199" s="883"/>
      <c r="U199" s="883"/>
      <c r="V199" s="1137"/>
      <c r="W199" s="14"/>
      <c r="X199" s="16">
        <f t="shared" si="55"/>
        <v>0</v>
      </c>
      <c r="Y199" s="16">
        <f t="shared" si="59"/>
        <v>0</v>
      </c>
    </row>
    <row r="200" spans="1:25" s="16" customFormat="1" ht="45" hidden="1">
      <c r="A200" s="236"/>
      <c r="B200" s="844"/>
      <c r="C200" s="1137"/>
      <c r="D200" s="13"/>
      <c r="E200" s="1137"/>
      <c r="F200" s="12"/>
      <c r="G200" s="341"/>
      <c r="H200" s="10"/>
      <c r="I200" s="10"/>
      <c r="J200" s="14"/>
      <c r="K200" s="14"/>
      <c r="L200" s="14"/>
      <c r="M200" s="14"/>
      <c r="N200" s="10"/>
      <c r="O200" s="1136"/>
      <c r="P200" s="1137"/>
      <c r="Q200" s="93"/>
      <c r="R200" s="93"/>
      <c r="S200" s="884" t="s">
        <v>713</v>
      </c>
      <c r="T200" s="884"/>
      <c r="U200" s="884" t="s">
        <v>714</v>
      </c>
      <c r="V200" s="1137"/>
      <c r="W200" s="14"/>
      <c r="X200" s="16">
        <f t="shared" si="55"/>
        <v>0</v>
      </c>
      <c r="Y200" s="16">
        <f t="shared" si="59"/>
        <v>0</v>
      </c>
    </row>
    <row r="201" spans="1:25" s="16" customFormat="1" ht="45" hidden="1">
      <c r="A201" s="236"/>
      <c r="B201" s="844"/>
      <c r="C201" s="1137"/>
      <c r="D201" s="13"/>
      <c r="E201" s="1137"/>
      <c r="F201" s="12"/>
      <c r="G201" s="341"/>
      <c r="H201" s="10"/>
      <c r="I201" s="10"/>
      <c r="J201" s="14"/>
      <c r="K201" s="14"/>
      <c r="L201" s="14"/>
      <c r="M201" s="14"/>
      <c r="N201" s="10"/>
      <c r="O201" s="1136"/>
      <c r="P201" s="1137"/>
      <c r="Q201" s="93"/>
      <c r="R201" s="93"/>
      <c r="S201" s="884" t="s">
        <v>713</v>
      </c>
      <c r="T201" s="884"/>
      <c r="U201" s="884" t="s">
        <v>715</v>
      </c>
      <c r="V201" s="1137"/>
      <c r="W201" s="14"/>
      <c r="X201" s="16">
        <f t="shared" si="55"/>
        <v>0</v>
      </c>
      <c r="Y201" s="16">
        <f t="shared" si="59"/>
        <v>0</v>
      </c>
    </row>
    <row r="202" spans="1:25" s="16" customFormat="1" ht="45" hidden="1">
      <c r="A202" s="236"/>
      <c r="B202" s="844"/>
      <c r="C202" s="1137"/>
      <c r="D202" s="13"/>
      <c r="E202" s="1137"/>
      <c r="F202" s="12"/>
      <c r="G202" s="341"/>
      <c r="H202" s="10"/>
      <c r="I202" s="10"/>
      <c r="J202" s="14"/>
      <c r="K202" s="14"/>
      <c r="L202" s="14"/>
      <c r="M202" s="14"/>
      <c r="N202" s="10"/>
      <c r="O202" s="1136"/>
      <c r="P202" s="1137"/>
      <c r="Q202" s="93"/>
      <c r="R202" s="93"/>
      <c r="S202" s="884" t="s">
        <v>716</v>
      </c>
      <c r="T202" s="884"/>
      <c r="U202" s="884" t="s">
        <v>717</v>
      </c>
      <c r="V202" s="1137"/>
      <c r="W202" s="14"/>
      <c r="X202" s="16">
        <f t="shared" si="55"/>
        <v>0</v>
      </c>
      <c r="Y202" s="16">
        <f t="shared" si="59"/>
        <v>0</v>
      </c>
    </row>
    <row r="203" spans="1:25" s="16" customFormat="1" ht="45" hidden="1">
      <c r="A203" s="236"/>
      <c r="B203" s="844"/>
      <c r="C203" s="1137"/>
      <c r="D203" s="13"/>
      <c r="E203" s="1137"/>
      <c r="F203" s="12"/>
      <c r="G203" s="341"/>
      <c r="H203" s="10"/>
      <c r="I203" s="10"/>
      <c r="J203" s="14"/>
      <c r="K203" s="14"/>
      <c r="L203" s="14"/>
      <c r="M203" s="14"/>
      <c r="N203" s="10"/>
      <c r="O203" s="1136"/>
      <c r="P203" s="1137"/>
      <c r="Q203" s="93"/>
      <c r="R203" s="93"/>
      <c r="S203" s="884" t="s">
        <v>718</v>
      </c>
      <c r="T203" s="884"/>
      <c r="U203" s="884" t="s">
        <v>719</v>
      </c>
      <c r="V203" s="1137"/>
      <c r="W203" s="14"/>
      <c r="X203" s="16">
        <f t="shared" si="55"/>
        <v>0</v>
      </c>
      <c r="Y203" s="16">
        <f t="shared" si="59"/>
        <v>0</v>
      </c>
    </row>
    <row r="204" spans="1:25" s="16" customFormat="1" ht="15" hidden="1">
      <c r="A204" s="236"/>
      <c r="B204" s="844"/>
      <c r="C204" s="1137"/>
      <c r="D204" s="13"/>
      <c r="E204" s="1137"/>
      <c r="F204" s="12"/>
      <c r="G204" s="341"/>
      <c r="H204" s="10"/>
      <c r="I204" s="10"/>
      <c r="J204" s="14"/>
      <c r="K204" s="14"/>
      <c r="L204" s="14"/>
      <c r="M204" s="14"/>
      <c r="N204" s="10"/>
      <c r="O204" s="1136"/>
      <c r="P204" s="1137"/>
      <c r="Q204" s="93"/>
      <c r="R204" s="93"/>
      <c r="S204" s="883"/>
      <c r="T204" s="883"/>
      <c r="U204" s="883"/>
      <c r="V204" s="1137"/>
      <c r="W204" s="14"/>
      <c r="X204" s="16">
        <f t="shared" si="55"/>
        <v>0</v>
      </c>
      <c r="Y204" s="16">
        <f t="shared" si="59"/>
        <v>0</v>
      </c>
    </row>
    <row r="205" spans="1:25" s="16" customFormat="1" ht="30" hidden="1">
      <c r="A205" s="236"/>
      <c r="B205" s="844"/>
      <c r="C205" s="1137"/>
      <c r="D205" s="13"/>
      <c r="E205" s="1137"/>
      <c r="F205" s="12"/>
      <c r="G205" s="341"/>
      <c r="H205" s="10"/>
      <c r="I205" s="10"/>
      <c r="J205" s="14"/>
      <c r="K205" s="14"/>
      <c r="L205" s="14"/>
      <c r="M205" s="14"/>
      <c r="N205" s="10"/>
      <c r="O205" s="1136"/>
      <c r="P205" s="1137"/>
      <c r="Q205" s="93"/>
      <c r="R205" s="93"/>
      <c r="S205" s="884" t="s">
        <v>720</v>
      </c>
      <c r="T205" s="884"/>
      <c r="U205" s="884" t="s">
        <v>721</v>
      </c>
      <c r="V205" s="1137"/>
      <c r="W205" s="14"/>
      <c r="X205" s="16">
        <f t="shared" si="55"/>
        <v>0</v>
      </c>
      <c r="Y205" s="16">
        <f t="shared" si="59"/>
        <v>0</v>
      </c>
    </row>
    <row r="206" spans="1:25" s="16" customFormat="1" ht="60" hidden="1">
      <c r="A206" s="236"/>
      <c r="B206" s="844"/>
      <c r="C206" s="1137"/>
      <c r="D206" s="13"/>
      <c r="E206" s="1137"/>
      <c r="F206" s="12"/>
      <c r="G206" s="341"/>
      <c r="H206" s="10"/>
      <c r="I206" s="10"/>
      <c r="J206" s="14"/>
      <c r="K206" s="14"/>
      <c r="L206" s="14"/>
      <c r="M206" s="14"/>
      <c r="N206" s="10"/>
      <c r="O206" s="1136"/>
      <c r="P206" s="1137"/>
      <c r="Q206" s="93"/>
      <c r="R206" s="93"/>
      <c r="S206" s="884" t="s">
        <v>722</v>
      </c>
      <c r="T206" s="884"/>
      <c r="U206" s="884" t="s">
        <v>723</v>
      </c>
      <c r="V206" s="1137"/>
      <c r="W206" s="14"/>
      <c r="X206" s="16">
        <f t="shared" ref="X206:X386" si="60">SUM(J206:L206)</f>
        <v>0</v>
      </c>
      <c r="Y206" s="16">
        <f t="shared" si="59"/>
        <v>0</v>
      </c>
    </row>
    <row r="207" spans="1:25" s="16" customFormat="1" ht="45" hidden="1">
      <c r="A207" s="236"/>
      <c r="B207" s="844"/>
      <c r="C207" s="1137"/>
      <c r="D207" s="13"/>
      <c r="E207" s="1137"/>
      <c r="F207" s="12"/>
      <c r="G207" s="341"/>
      <c r="H207" s="10"/>
      <c r="I207" s="10"/>
      <c r="J207" s="14"/>
      <c r="K207" s="14"/>
      <c r="L207" s="14"/>
      <c r="M207" s="14"/>
      <c r="N207" s="10"/>
      <c r="O207" s="1136"/>
      <c r="P207" s="1137"/>
      <c r="Q207" s="93"/>
      <c r="R207" s="93"/>
      <c r="S207" s="884" t="s">
        <v>724</v>
      </c>
      <c r="T207" s="884"/>
      <c r="U207" s="884" t="s">
        <v>725</v>
      </c>
      <c r="V207" s="1137"/>
      <c r="W207" s="14"/>
      <c r="X207" s="16">
        <f t="shared" si="60"/>
        <v>0</v>
      </c>
      <c r="Y207" s="16">
        <f t="shared" si="59"/>
        <v>0</v>
      </c>
    </row>
    <row r="208" spans="1:25" s="16" customFormat="1" ht="45" hidden="1">
      <c r="A208" s="236"/>
      <c r="B208" s="844"/>
      <c r="C208" s="1137"/>
      <c r="D208" s="13"/>
      <c r="E208" s="1137"/>
      <c r="F208" s="12"/>
      <c r="G208" s="341"/>
      <c r="H208" s="10"/>
      <c r="I208" s="10"/>
      <c r="J208" s="14"/>
      <c r="K208" s="14"/>
      <c r="L208" s="14"/>
      <c r="M208" s="14"/>
      <c r="N208" s="10"/>
      <c r="O208" s="1136"/>
      <c r="P208" s="1137"/>
      <c r="Q208" s="93"/>
      <c r="R208" s="93"/>
      <c r="S208" s="884" t="s">
        <v>726</v>
      </c>
      <c r="T208" s="884"/>
      <c r="U208" s="884" t="s">
        <v>727</v>
      </c>
      <c r="V208" s="1137"/>
      <c r="W208" s="14"/>
      <c r="X208" s="16">
        <f t="shared" si="60"/>
        <v>0</v>
      </c>
      <c r="Y208" s="16">
        <f t="shared" si="59"/>
        <v>0</v>
      </c>
    </row>
    <row r="209" spans="1:25" s="16" customFormat="1" ht="75" hidden="1">
      <c r="A209" s="236"/>
      <c r="B209" s="844"/>
      <c r="C209" s="1137"/>
      <c r="D209" s="13"/>
      <c r="E209" s="1137"/>
      <c r="F209" s="12"/>
      <c r="G209" s="341"/>
      <c r="H209" s="10"/>
      <c r="I209" s="10"/>
      <c r="J209" s="14"/>
      <c r="K209" s="14"/>
      <c r="L209" s="14"/>
      <c r="M209" s="14"/>
      <c r="N209" s="10"/>
      <c r="O209" s="1136"/>
      <c r="P209" s="1137"/>
      <c r="Q209" s="93"/>
      <c r="R209" s="93"/>
      <c r="S209" s="884" t="s">
        <v>728</v>
      </c>
      <c r="T209" s="884"/>
      <c r="U209" s="884" t="s">
        <v>729</v>
      </c>
      <c r="V209" s="1137"/>
      <c r="W209" s="14"/>
      <c r="X209" s="16">
        <f t="shared" si="60"/>
        <v>0</v>
      </c>
      <c r="Y209" s="16">
        <f t="shared" si="59"/>
        <v>0</v>
      </c>
    </row>
    <row r="210" spans="1:25" s="16" customFormat="1" ht="75" hidden="1">
      <c r="A210" s="236"/>
      <c r="B210" s="844"/>
      <c r="C210" s="1137"/>
      <c r="D210" s="13"/>
      <c r="E210" s="1137"/>
      <c r="F210" s="12"/>
      <c r="G210" s="341"/>
      <c r="H210" s="10"/>
      <c r="I210" s="10"/>
      <c r="J210" s="14"/>
      <c r="K210" s="14"/>
      <c r="L210" s="14"/>
      <c r="M210" s="14"/>
      <c r="N210" s="10"/>
      <c r="O210" s="1136"/>
      <c r="P210" s="1137"/>
      <c r="Q210" s="93"/>
      <c r="R210" s="93"/>
      <c r="S210" s="876"/>
      <c r="T210" s="876"/>
      <c r="U210" s="884" t="s">
        <v>730</v>
      </c>
      <c r="V210" s="1137"/>
      <c r="W210" s="14"/>
      <c r="X210" s="16">
        <f t="shared" si="60"/>
        <v>0</v>
      </c>
      <c r="Y210" s="16">
        <f t="shared" si="59"/>
        <v>0</v>
      </c>
    </row>
    <row r="211" spans="1:25" s="16" customFormat="1" ht="45" hidden="1">
      <c r="A211" s="236"/>
      <c r="B211" s="844"/>
      <c r="C211" s="1137"/>
      <c r="D211" s="13"/>
      <c r="E211" s="1137"/>
      <c r="F211" s="12"/>
      <c r="G211" s="341"/>
      <c r="H211" s="10"/>
      <c r="I211" s="10"/>
      <c r="J211" s="14"/>
      <c r="K211" s="14"/>
      <c r="L211" s="14"/>
      <c r="M211" s="14"/>
      <c r="N211" s="10"/>
      <c r="O211" s="1136"/>
      <c r="P211" s="1137"/>
      <c r="Q211" s="93"/>
      <c r="R211" s="93"/>
      <c r="S211" s="876"/>
      <c r="T211" s="876"/>
      <c r="U211" s="884" t="s">
        <v>731</v>
      </c>
      <c r="V211" s="1137"/>
      <c r="W211" s="14"/>
      <c r="X211" s="16">
        <f t="shared" si="60"/>
        <v>0</v>
      </c>
      <c r="Y211" s="16">
        <f t="shared" si="59"/>
        <v>0</v>
      </c>
    </row>
    <row r="212" spans="1:25" s="16" customFormat="1" ht="30" hidden="1">
      <c r="A212" s="236"/>
      <c r="B212" s="844"/>
      <c r="C212" s="1137"/>
      <c r="D212" s="13"/>
      <c r="E212" s="1137"/>
      <c r="F212" s="12"/>
      <c r="G212" s="341"/>
      <c r="H212" s="10"/>
      <c r="I212" s="10"/>
      <c r="J212" s="14"/>
      <c r="K212" s="14"/>
      <c r="L212" s="14"/>
      <c r="M212" s="14"/>
      <c r="N212" s="10"/>
      <c r="O212" s="1136"/>
      <c r="P212" s="1137"/>
      <c r="Q212" s="93"/>
      <c r="R212" s="93"/>
      <c r="S212" s="876"/>
      <c r="T212" s="876"/>
      <c r="U212" s="884" t="s">
        <v>732</v>
      </c>
      <c r="V212" s="1137"/>
      <c r="W212" s="14"/>
      <c r="X212" s="16">
        <f t="shared" si="60"/>
        <v>0</v>
      </c>
      <c r="Y212" s="16">
        <f t="shared" si="59"/>
        <v>0</v>
      </c>
    </row>
    <row r="213" spans="1:25" s="16" customFormat="1" ht="45" hidden="1">
      <c r="A213" s="236"/>
      <c r="B213" s="844"/>
      <c r="C213" s="1137"/>
      <c r="D213" s="13"/>
      <c r="E213" s="1137"/>
      <c r="F213" s="12"/>
      <c r="G213" s="341"/>
      <c r="H213" s="10"/>
      <c r="I213" s="10"/>
      <c r="J213" s="14"/>
      <c r="K213" s="14"/>
      <c r="L213" s="14"/>
      <c r="M213" s="14"/>
      <c r="N213" s="10"/>
      <c r="O213" s="1136"/>
      <c r="P213" s="1137"/>
      <c r="Q213" s="93"/>
      <c r="R213" s="93"/>
      <c r="S213" s="876"/>
      <c r="T213" s="876"/>
      <c r="U213" s="884" t="s">
        <v>733</v>
      </c>
      <c r="V213" s="1137"/>
      <c r="W213" s="14"/>
      <c r="X213" s="16">
        <f t="shared" si="60"/>
        <v>0</v>
      </c>
      <c r="Y213" s="16">
        <f t="shared" si="59"/>
        <v>0</v>
      </c>
    </row>
    <row r="214" spans="1:25" s="16" customFormat="1" ht="15" hidden="1">
      <c r="A214" s="236"/>
      <c r="B214" s="844"/>
      <c r="C214" s="1137"/>
      <c r="D214" s="13"/>
      <c r="E214" s="1137"/>
      <c r="F214" s="12"/>
      <c r="G214" s="341"/>
      <c r="H214" s="10"/>
      <c r="I214" s="10"/>
      <c r="J214" s="14"/>
      <c r="K214" s="14"/>
      <c r="L214" s="14"/>
      <c r="M214" s="14"/>
      <c r="N214" s="10"/>
      <c r="O214" s="1136"/>
      <c r="P214" s="1137"/>
      <c r="Q214" s="93"/>
      <c r="R214" s="93"/>
      <c r="S214" s="876"/>
      <c r="T214" s="876"/>
      <c r="U214" s="876"/>
      <c r="V214" s="1137"/>
      <c r="W214" s="14"/>
      <c r="X214" s="16">
        <f t="shared" si="60"/>
        <v>0</v>
      </c>
      <c r="Y214" s="16">
        <f t="shared" si="59"/>
        <v>0</v>
      </c>
    </row>
    <row r="215" spans="1:25" s="16" customFormat="1" ht="15">
      <c r="A215" s="236"/>
      <c r="B215" s="844"/>
      <c r="C215" s="1137"/>
      <c r="D215" s="13"/>
      <c r="E215" s="1137"/>
      <c r="F215" s="12"/>
      <c r="G215" s="341"/>
      <c r="H215" s="10"/>
      <c r="I215" s="10"/>
      <c r="J215" s="14"/>
      <c r="K215" s="14"/>
      <c r="L215" s="14"/>
      <c r="M215" s="14"/>
      <c r="N215" s="10"/>
      <c r="O215" s="1136"/>
      <c r="P215" s="1137"/>
      <c r="Q215" s="93"/>
      <c r="R215" s="93"/>
      <c r="S215" s="876"/>
      <c r="T215" s="876"/>
      <c r="U215" s="876"/>
      <c r="V215" s="1137"/>
      <c r="W215" s="14"/>
    </row>
    <row r="216" spans="1:25" s="118" customFormat="1" ht="15">
      <c r="B216" s="1125" t="s">
        <v>139</v>
      </c>
      <c r="C216" s="1137"/>
      <c r="D216" s="26"/>
      <c r="E216" s="1137"/>
      <c r="F216" s="12"/>
      <c r="G216" s="14"/>
      <c r="H216" s="1154"/>
      <c r="I216" s="1155">
        <v>294000</v>
      </c>
      <c r="J216" s="384">
        <f>J217</f>
        <v>0</v>
      </c>
      <c r="K216" s="384">
        <f>K217</f>
        <v>294000</v>
      </c>
      <c r="L216" s="384">
        <f t="shared" ref="L216:M216" si="61">L217</f>
        <v>0</v>
      </c>
      <c r="M216" s="384">
        <f t="shared" si="61"/>
        <v>294000</v>
      </c>
      <c r="O216" s="151"/>
      <c r="P216" s="151"/>
      <c r="Q216" s="885">
        <f>SUM(Q217:Q329)</f>
        <v>173905.77948000003</v>
      </c>
      <c r="R216" s="885">
        <f>SUM(R217:R327)</f>
        <v>160429.28604000001</v>
      </c>
      <c r="S216" s="407"/>
      <c r="T216" s="407"/>
      <c r="U216" s="407"/>
      <c r="X216" s="16">
        <f t="shared" si="60"/>
        <v>294000</v>
      </c>
      <c r="Y216" s="16">
        <f t="shared" si="59"/>
        <v>0</v>
      </c>
    </row>
    <row r="217" spans="1:25" s="118" customFormat="1" ht="45">
      <c r="A217" s="1139" t="s">
        <v>4607</v>
      </c>
      <c r="B217" s="842" t="s">
        <v>734</v>
      </c>
      <c r="C217" s="1138" t="s">
        <v>735</v>
      </c>
      <c r="D217" s="13">
        <v>40834</v>
      </c>
      <c r="E217" s="1138" t="s">
        <v>5007</v>
      </c>
      <c r="F217" s="1129" t="s">
        <v>5006</v>
      </c>
      <c r="G217" s="1129"/>
      <c r="H217" s="1154"/>
      <c r="K217" s="14">
        <v>294000</v>
      </c>
      <c r="L217" s="14"/>
      <c r="M217" s="14">
        <f>SUM(I217:L217)</f>
        <v>294000</v>
      </c>
      <c r="O217" s="151" t="s">
        <v>587</v>
      </c>
      <c r="P217" s="151"/>
      <c r="Q217" s="529"/>
      <c r="R217" s="529"/>
      <c r="S217" s="407"/>
      <c r="T217" s="407"/>
      <c r="U217" s="407"/>
      <c r="X217" s="16">
        <f t="shared" si="60"/>
        <v>294000</v>
      </c>
      <c r="Y217" s="16">
        <f t="shared" si="59"/>
        <v>0</v>
      </c>
    </row>
    <row r="218" spans="1:25" s="118" customFormat="1" ht="15">
      <c r="B218" s="841"/>
      <c r="C218" s="1138"/>
      <c r="D218" s="13"/>
      <c r="E218" s="1138"/>
      <c r="F218" s="1156" t="s">
        <v>331</v>
      </c>
      <c r="G218" s="1129"/>
      <c r="H218" s="1154"/>
      <c r="K218" s="14"/>
      <c r="L218" s="14"/>
      <c r="M218" s="14"/>
      <c r="O218" s="151"/>
      <c r="P218" s="151"/>
      <c r="Q218" s="529"/>
      <c r="R218" s="529"/>
      <c r="S218" s="407"/>
      <c r="T218" s="407"/>
      <c r="U218" s="407"/>
      <c r="X218" s="16"/>
      <c r="Y218" s="16"/>
    </row>
    <row r="219" spans="1:25" s="118" customFormat="1" ht="30">
      <c r="B219" s="841"/>
      <c r="C219" s="1138"/>
      <c r="D219" s="13"/>
      <c r="E219" s="1138"/>
      <c r="F219" s="1157" t="s">
        <v>736</v>
      </c>
      <c r="G219" s="1129"/>
      <c r="H219" s="1154"/>
      <c r="K219" s="14"/>
      <c r="L219" s="14"/>
      <c r="M219" s="14"/>
      <c r="O219" s="151"/>
      <c r="P219" s="151"/>
      <c r="Q219" s="529"/>
      <c r="R219" s="529"/>
      <c r="S219" s="407"/>
      <c r="T219" s="407"/>
      <c r="U219" s="407"/>
      <c r="X219" s="16"/>
      <c r="Y219" s="16"/>
    </row>
    <row r="220" spans="1:25" s="118" customFormat="1" ht="30">
      <c r="B220" s="841"/>
      <c r="C220" s="1138"/>
      <c r="D220" s="13"/>
      <c r="E220" s="1138"/>
      <c r="F220" s="1158" t="s">
        <v>737</v>
      </c>
      <c r="G220" s="1129"/>
      <c r="H220" s="1154"/>
      <c r="K220" s="14"/>
      <c r="L220" s="14"/>
      <c r="M220" s="14"/>
      <c r="O220" s="151"/>
      <c r="P220" s="151"/>
      <c r="Q220" s="529">
        <f>4800000/1000</f>
        <v>4800</v>
      </c>
      <c r="R220" s="529"/>
      <c r="S220" s="1115" t="s">
        <v>738</v>
      </c>
      <c r="T220" s="407"/>
      <c r="U220" s="407"/>
      <c r="X220" s="16"/>
      <c r="Y220" s="16"/>
    </row>
    <row r="221" spans="1:25" s="118" customFormat="1" ht="30">
      <c r="B221" s="841"/>
      <c r="C221" s="1138"/>
      <c r="D221" s="13"/>
      <c r="E221" s="1138"/>
      <c r="F221" s="1157" t="s">
        <v>739</v>
      </c>
      <c r="G221" s="1129"/>
      <c r="H221" s="1154"/>
      <c r="K221" s="14"/>
      <c r="L221" s="14"/>
      <c r="M221" s="14"/>
      <c r="O221" s="151"/>
      <c r="P221" s="151"/>
      <c r="Q221" s="529">
        <f>360000/1000</f>
        <v>360</v>
      </c>
      <c r="R221" s="529">
        <v>360</v>
      </c>
      <c r="S221" s="990">
        <f>208+208</f>
        <v>416</v>
      </c>
      <c r="T221" s="407"/>
      <c r="U221" s="407"/>
      <c r="X221" s="16"/>
      <c r="Y221" s="16"/>
    </row>
    <row r="222" spans="1:25" s="118" customFormat="1" ht="30">
      <c r="B222" s="841"/>
      <c r="C222" s="1138"/>
      <c r="D222" s="13"/>
      <c r="E222" s="1138"/>
      <c r="F222" s="1158" t="s">
        <v>740</v>
      </c>
      <c r="G222" s="1129"/>
      <c r="H222" s="1154"/>
      <c r="K222" s="14"/>
      <c r="L222" s="14"/>
      <c r="M222" s="14"/>
      <c r="O222" s="151"/>
      <c r="P222" s="151"/>
      <c r="Q222" s="529">
        <f>1200000/1000</f>
        <v>1200</v>
      </c>
      <c r="R222" s="529">
        <v>1200</v>
      </c>
      <c r="S222" s="407"/>
      <c r="T222" s="407"/>
      <c r="U222" s="407"/>
      <c r="X222" s="16"/>
      <c r="Y222" s="16"/>
    </row>
    <row r="223" spans="1:25" s="118" customFormat="1" ht="15">
      <c r="B223" s="841"/>
      <c r="C223" s="1138"/>
      <c r="D223" s="13"/>
      <c r="E223" s="1138"/>
      <c r="F223" s="1159" t="s">
        <v>741</v>
      </c>
      <c r="G223" s="1129"/>
      <c r="H223" s="1154"/>
      <c r="K223" s="14"/>
      <c r="L223" s="14"/>
      <c r="M223" s="14"/>
      <c r="O223" s="151"/>
      <c r="P223" s="151"/>
      <c r="Q223" s="529">
        <v>0</v>
      </c>
      <c r="R223" s="529">
        <v>0</v>
      </c>
      <c r="S223" s="407"/>
      <c r="T223" s="407"/>
      <c r="U223" s="407"/>
      <c r="X223" s="16"/>
      <c r="Y223" s="16"/>
    </row>
    <row r="224" spans="1:25" s="118" customFormat="1" ht="75">
      <c r="B224" s="841"/>
      <c r="C224" s="1138"/>
      <c r="D224" s="13"/>
      <c r="E224" s="1138"/>
      <c r="F224" s="1157" t="s">
        <v>742</v>
      </c>
      <c r="G224" s="1129"/>
      <c r="H224" s="1154"/>
      <c r="K224" s="14"/>
      <c r="L224" s="14"/>
      <c r="M224" s="14"/>
      <c r="O224" s="151"/>
      <c r="P224" s="151"/>
      <c r="Q224" s="529">
        <f>4992000/1000</f>
        <v>4992</v>
      </c>
      <c r="R224" s="529">
        <v>4992</v>
      </c>
      <c r="S224" s="407" t="s">
        <v>6221</v>
      </c>
      <c r="T224" s="407"/>
      <c r="U224" s="407"/>
      <c r="X224" s="16"/>
      <c r="Y224" s="16"/>
    </row>
    <row r="225" spans="2:25" s="118" customFormat="1" ht="15">
      <c r="B225" s="841"/>
      <c r="C225" s="1138"/>
      <c r="D225" s="13"/>
      <c r="E225" s="1138"/>
      <c r="F225" s="1158" t="s">
        <v>743</v>
      </c>
      <c r="G225" s="1129"/>
      <c r="H225" s="1154"/>
      <c r="K225" s="14"/>
      <c r="L225" s="14"/>
      <c r="M225" s="14"/>
      <c r="O225" s="151"/>
      <c r="P225" s="151"/>
      <c r="Q225" s="529">
        <v>0</v>
      </c>
      <c r="R225" s="529">
        <v>0</v>
      </c>
      <c r="S225" s="407"/>
      <c r="T225" s="407"/>
      <c r="U225" s="407"/>
      <c r="X225" s="16"/>
      <c r="Y225" s="16"/>
    </row>
    <row r="226" spans="2:25" s="118" customFormat="1" ht="30">
      <c r="B226" s="841"/>
      <c r="C226" s="1138"/>
      <c r="D226" s="13"/>
      <c r="E226" s="1138"/>
      <c r="F226" s="1157" t="s">
        <v>744</v>
      </c>
      <c r="G226" s="1129"/>
      <c r="H226" s="1154"/>
      <c r="K226" s="14"/>
      <c r="L226" s="14"/>
      <c r="M226" s="14"/>
      <c r="O226" s="151"/>
      <c r="P226" s="151"/>
      <c r="Q226" s="529">
        <f>1200000/1000</f>
        <v>1200</v>
      </c>
      <c r="R226" s="529">
        <v>1200</v>
      </c>
      <c r="S226" s="407"/>
      <c r="T226" s="407"/>
      <c r="U226" s="407"/>
      <c r="X226" s="16"/>
      <c r="Y226" s="16"/>
    </row>
    <row r="227" spans="2:25" s="118" customFormat="1" ht="30">
      <c r="B227" s="841"/>
      <c r="C227" s="1138"/>
      <c r="D227" s="13"/>
      <c r="E227" s="1138"/>
      <c r="F227" s="1157" t="s">
        <v>744</v>
      </c>
      <c r="G227" s="1129"/>
      <c r="H227" s="1154"/>
      <c r="K227" s="14"/>
      <c r="L227" s="14"/>
      <c r="M227" s="14"/>
      <c r="O227" s="151"/>
      <c r="P227" s="151"/>
      <c r="Q227" s="529">
        <f>1812481.47/1000</f>
        <v>1812.4814699999999</v>
      </c>
      <c r="R227" s="529">
        <f>1812481.47/1000</f>
        <v>1812.4814699999999</v>
      </c>
      <c r="S227" s="407"/>
      <c r="T227" s="407"/>
      <c r="U227" s="407"/>
      <c r="X227" s="16"/>
      <c r="Y227" s="16"/>
    </row>
    <row r="228" spans="2:25" s="118" customFormat="1" ht="30">
      <c r="B228" s="841"/>
      <c r="C228" s="1138"/>
      <c r="D228" s="13"/>
      <c r="E228" s="1138"/>
      <c r="F228" s="1158" t="s">
        <v>745</v>
      </c>
      <c r="G228" s="1129"/>
      <c r="H228" s="1154"/>
      <c r="K228" s="14"/>
      <c r="L228" s="14"/>
      <c r="M228" s="14"/>
      <c r="O228" s="151"/>
      <c r="P228" s="151"/>
      <c r="Q228" s="529">
        <f>792000/1000</f>
        <v>792</v>
      </c>
      <c r="R228" s="529">
        <v>792</v>
      </c>
      <c r="S228" s="991">
        <v>1</v>
      </c>
      <c r="T228" s="407"/>
      <c r="U228" s="407"/>
      <c r="X228" s="16"/>
      <c r="Y228" s="16"/>
    </row>
    <row r="229" spans="2:25" s="118" customFormat="1" ht="15">
      <c r="B229" s="841"/>
      <c r="C229" s="1138"/>
      <c r="D229" s="13"/>
      <c r="E229" s="1138"/>
      <c r="F229" s="1159" t="s">
        <v>746</v>
      </c>
      <c r="G229" s="1129"/>
      <c r="H229" s="1154"/>
      <c r="K229" s="14"/>
      <c r="L229" s="14"/>
      <c r="M229" s="14"/>
      <c r="O229" s="151"/>
      <c r="P229" s="151"/>
      <c r="Q229" s="529">
        <v>0</v>
      </c>
      <c r="R229" s="529">
        <v>0</v>
      </c>
      <c r="S229" s="407"/>
      <c r="T229" s="407"/>
      <c r="U229" s="407"/>
      <c r="X229" s="16"/>
      <c r="Y229" s="16"/>
    </row>
    <row r="230" spans="2:25" s="118" customFormat="1" ht="30">
      <c r="B230" s="841"/>
      <c r="C230" s="1138"/>
      <c r="D230" s="13"/>
      <c r="E230" s="1138"/>
      <c r="F230" s="1157" t="s">
        <v>747</v>
      </c>
      <c r="G230" s="1129"/>
      <c r="H230" s="1154"/>
      <c r="K230" s="14"/>
      <c r="L230" s="14"/>
      <c r="M230" s="14"/>
      <c r="O230" s="151"/>
      <c r="P230" s="151"/>
      <c r="Q230" s="529">
        <f>4454573.52/1000</f>
        <v>4454.5735199999999</v>
      </c>
      <c r="R230" s="529">
        <f>4454573.52/1000</f>
        <v>4454.5735199999999</v>
      </c>
      <c r="S230" s="407">
        <f>186+186</f>
        <v>372</v>
      </c>
      <c r="T230" s="407"/>
      <c r="U230" s="407"/>
      <c r="X230" s="16"/>
      <c r="Y230" s="16"/>
    </row>
    <row r="231" spans="2:25" s="118" customFormat="1" ht="15">
      <c r="B231" s="841"/>
      <c r="C231" s="1138"/>
      <c r="D231" s="13"/>
      <c r="E231" s="1138"/>
      <c r="F231" s="1157" t="s">
        <v>748</v>
      </c>
      <c r="G231" s="1129"/>
      <c r="H231" s="1154"/>
      <c r="K231" s="14"/>
      <c r="L231" s="14"/>
      <c r="M231" s="14"/>
      <c r="O231" s="151"/>
      <c r="P231" s="151"/>
      <c r="Q231" s="529">
        <v>0</v>
      </c>
      <c r="R231" s="529">
        <v>0</v>
      </c>
      <c r="S231" s="407"/>
      <c r="T231" s="407"/>
      <c r="U231" s="407"/>
      <c r="X231" s="16"/>
      <c r="Y231" s="16"/>
    </row>
    <row r="232" spans="2:25" s="118" customFormat="1" ht="15">
      <c r="B232" s="841"/>
      <c r="C232" s="1138"/>
      <c r="D232" s="13"/>
      <c r="E232" s="1138"/>
      <c r="F232" s="1157" t="s">
        <v>749</v>
      </c>
      <c r="G232" s="1129"/>
      <c r="H232" s="1154"/>
      <c r="K232" s="14"/>
      <c r="L232" s="14"/>
      <c r="M232" s="14"/>
      <c r="O232" s="151"/>
      <c r="P232" s="151"/>
      <c r="Q232" s="529">
        <v>0</v>
      </c>
      <c r="R232" s="529">
        <v>0</v>
      </c>
      <c r="S232" s="407"/>
      <c r="T232" s="407"/>
      <c r="U232" s="407"/>
      <c r="X232" s="16"/>
      <c r="Y232" s="16"/>
    </row>
    <row r="233" spans="2:25" s="118" customFormat="1" ht="15">
      <c r="B233" s="841"/>
      <c r="C233" s="1138"/>
      <c r="D233" s="13"/>
      <c r="E233" s="1138"/>
      <c r="F233" s="1159" t="s">
        <v>750</v>
      </c>
      <c r="G233" s="1129"/>
      <c r="H233" s="1154"/>
      <c r="K233" s="14"/>
      <c r="L233" s="14"/>
      <c r="M233" s="14"/>
      <c r="O233" s="151"/>
      <c r="P233" s="151"/>
      <c r="Q233" s="529">
        <v>0</v>
      </c>
      <c r="R233" s="529">
        <v>0</v>
      </c>
      <c r="S233" s="407"/>
      <c r="T233" s="407"/>
      <c r="U233" s="407"/>
      <c r="X233" s="16"/>
      <c r="Y233" s="16"/>
    </row>
    <row r="234" spans="2:25" s="118" customFormat="1" ht="30">
      <c r="B234" s="841"/>
      <c r="C234" s="1138"/>
      <c r="D234" s="13"/>
      <c r="E234" s="1138"/>
      <c r="F234" s="1158" t="s">
        <v>751</v>
      </c>
      <c r="G234" s="1129"/>
      <c r="H234" s="1154"/>
      <c r="K234" s="14"/>
      <c r="L234" s="14"/>
      <c r="M234" s="14"/>
      <c r="O234" s="151"/>
      <c r="P234" s="151"/>
      <c r="Q234" s="529">
        <f>5856000/1000</f>
        <v>5856</v>
      </c>
      <c r="R234" s="529">
        <v>5856</v>
      </c>
      <c r="S234" s="407">
        <f>244+244</f>
        <v>488</v>
      </c>
      <c r="T234" s="407"/>
      <c r="U234" s="407"/>
      <c r="X234" s="16"/>
      <c r="Y234" s="16"/>
    </row>
    <row r="235" spans="2:25" s="118" customFormat="1" ht="30">
      <c r="B235" s="841"/>
      <c r="C235" s="1138"/>
      <c r="D235" s="13"/>
      <c r="E235" s="1138"/>
      <c r="F235" s="1158" t="s">
        <v>752</v>
      </c>
      <c r="G235" s="1129"/>
      <c r="H235" s="1154"/>
      <c r="K235" s="14"/>
      <c r="L235" s="14"/>
      <c r="M235" s="14"/>
      <c r="O235" s="151"/>
      <c r="P235" s="151"/>
      <c r="Q235" s="529">
        <v>0</v>
      </c>
      <c r="R235" s="529">
        <v>0</v>
      </c>
      <c r="S235" s="407"/>
      <c r="T235" s="407"/>
      <c r="U235" s="407"/>
      <c r="X235" s="16"/>
      <c r="Y235" s="16"/>
    </row>
    <row r="236" spans="2:25" s="118" customFormat="1" ht="15">
      <c r="B236" s="841"/>
      <c r="C236" s="1138"/>
      <c r="D236" s="13"/>
      <c r="E236" s="1138"/>
      <c r="F236" s="1158" t="s">
        <v>753</v>
      </c>
      <c r="G236" s="1129"/>
      <c r="H236" s="1154"/>
      <c r="K236" s="14"/>
      <c r="L236" s="14"/>
      <c r="M236" s="14"/>
      <c r="O236" s="151"/>
      <c r="P236" s="151"/>
      <c r="Q236" s="529">
        <f>3984000/1000</f>
        <v>3984</v>
      </c>
      <c r="R236" s="529">
        <v>3984</v>
      </c>
      <c r="S236" s="407"/>
      <c r="T236" s="407"/>
      <c r="U236" s="407"/>
      <c r="X236" s="16"/>
      <c r="Y236" s="16"/>
    </row>
    <row r="237" spans="2:25" s="118" customFormat="1" ht="15">
      <c r="B237" s="841"/>
      <c r="C237" s="1138"/>
      <c r="D237" s="13"/>
      <c r="E237" s="1138"/>
      <c r="F237" s="1158" t="s">
        <v>754</v>
      </c>
      <c r="G237" s="1129"/>
      <c r="H237" s="1154"/>
      <c r="K237" s="14"/>
      <c r="L237" s="14"/>
      <c r="M237" s="14"/>
      <c r="O237" s="151"/>
      <c r="P237" s="151"/>
      <c r="Q237" s="529">
        <v>0</v>
      </c>
      <c r="R237" s="529">
        <v>0</v>
      </c>
      <c r="S237" s="407"/>
      <c r="T237" s="407"/>
      <c r="U237" s="407"/>
      <c r="X237" s="16"/>
      <c r="Y237" s="16"/>
    </row>
    <row r="238" spans="2:25" s="118" customFormat="1" ht="15">
      <c r="B238" s="841"/>
      <c r="C238" s="1138"/>
      <c r="D238" s="13"/>
      <c r="E238" s="1138"/>
      <c r="F238" s="1159" t="s">
        <v>755</v>
      </c>
      <c r="G238" s="1129"/>
      <c r="H238" s="1154"/>
      <c r="K238" s="14"/>
      <c r="L238" s="14"/>
      <c r="M238" s="14"/>
      <c r="O238" s="151"/>
      <c r="P238" s="151"/>
      <c r="Q238" s="529">
        <v>0</v>
      </c>
      <c r="R238" s="529">
        <v>0</v>
      </c>
      <c r="S238" s="407"/>
      <c r="T238" s="407"/>
      <c r="U238" s="407"/>
      <c r="X238" s="16"/>
      <c r="Y238" s="16"/>
    </row>
    <row r="239" spans="2:25" s="118" customFormat="1" ht="30" customHeight="1">
      <c r="B239" s="841"/>
      <c r="C239" s="1138"/>
      <c r="D239" s="13"/>
      <c r="E239" s="1138"/>
      <c r="F239" s="1158" t="s">
        <v>756</v>
      </c>
      <c r="G239" s="1129"/>
      <c r="H239" s="1154"/>
      <c r="K239" s="14"/>
      <c r="L239" s="14"/>
      <c r="M239" s="14"/>
      <c r="O239" s="151"/>
      <c r="P239" s="151"/>
      <c r="Q239" s="529">
        <f>4152000/1000</f>
        <v>4152</v>
      </c>
      <c r="R239" s="529">
        <v>4152</v>
      </c>
      <c r="S239" s="1371"/>
      <c r="T239" s="1372"/>
      <c r="U239" s="1372"/>
      <c r="X239" s="16"/>
      <c r="Y239" s="16"/>
    </row>
    <row r="240" spans="2:25" s="118" customFormat="1" ht="30" customHeight="1">
      <c r="B240" s="841"/>
      <c r="C240" s="1138"/>
      <c r="D240" s="13"/>
      <c r="E240" s="1138"/>
      <c r="F240" s="1158" t="s">
        <v>757</v>
      </c>
      <c r="G240" s="1129"/>
      <c r="H240" s="1154"/>
      <c r="K240" s="14"/>
      <c r="L240" s="14"/>
      <c r="M240" s="14"/>
      <c r="O240" s="151"/>
      <c r="P240" s="151"/>
      <c r="Q240" s="529">
        <f>5280000/1000</f>
        <v>5280</v>
      </c>
      <c r="R240" s="529">
        <v>5280</v>
      </c>
      <c r="S240" s="1371"/>
      <c r="T240" s="1372"/>
      <c r="U240" s="1372"/>
      <c r="X240" s="16"/>
      <c r="Y240" s="16"/>
    </row>
    <row r="241" spans="2:25" s="118" customFormat="1" ht="30">
      <c r="B241" s="841"/>
      <c r="C241" s="1138"/>
      <c r="D241" s="13"/>
      <c r="E241" s="1138"/>
      <c r="F241" s="1158" t="s">
        <v>758</v>
      </c>
      <c r="G241" s="1129"/>
      <c r="H241" s="1154"/>
      <c r="K241" s="14"/>
      <c r="L241" s="14"/>
      <c r="M241" s="14"/>
      <c r="O241" s="151"/>
      <c r="P241" s="151"/>
      <c r="Q241" s="529">
        <v>0</v>
      </c>
      <c r="R241" s="529">
        <v>0</v>
      </c>
      <c r="S241" s="407"/>
      <c r="T241" s="407"/>
      <c r="U241" s="407"/>
      <c r="X241" s="16"/>
      <c r="Y241" s="16"/>
    </row>
    <row r="242" spans="2:25" s="118" customFormat="1" ht="45">
      <c r="B242" s="841"/>
      <c r="C242" s="1138"/>
      <c r="D242" s="13"/>
      <c r="E242" s="1138"/>
      <c r="F242" s="1157" t="s">
        <v>759</v>
      </c>
      <c r="G242" s="1129"/>
      <c r="H242" s="1154"/>
      <c r="K242" s="14"/>
      <c r="L242" s="14"/>
      <c r="M242" s="14"/>
      <c r="O242" s="151"/>
      <c r="P242" s="151"/>
      <c r="Q242" s="529">
        <f>7200000/1000</f>
        <v>7200</v>
      </c>
      <c r="R242" s="529">
        <v>7200</v>
      </c>
      <c r="S242" s="1323" t="s">
        <v>760</v>
      </c>
      <c r="T242" s="1323"/>
      <c r="U242" s="1323"/>
      <c r="X242" s="16"/>
      <c r="Y242" s="16"/>
    </row>
    <row r="243" spans="2:25" s="118" customFormat="1" ht="30">
      <c r="B243" s="841"/>
      <c r="C243" s="1138"/>
      <c r="D243" s="13"/>
      <c r="E243" s="1138"/>
      <c r="F243" s="1158" t="s">
        <v>761</v>
      </c>
      <c r="G243" s="1129"/>
      <c r="H243" s="1154"/>
      <c r="K243" s="14"/>
      <c r="L243" s="14"/>
      <c r="M243" s="14"/>
      <c r="O243" s="151"/>
      <c r="P243" s="151"/>
      <c r="Q243" s="529">
        <v>6000</v>
      </c>
      <c r="R243" s="529">
        <v>6000</v>
      </c>
      <c r="S243" s="407">
        <f>500</f>
        <v>500</v>
      </c>
      <c r="T243" s="407"/>
      <c r="U243" s="407"/>
      <c r="X243" s="16"/>
      <c r="Y243" s="16"/>
    </row>
    <row r="244" spans="2:25" s="118" customFormat="1" ht="15">
      <c r="B244" s="841"/>
      <c r="C244" s="1138"/>
      <c r="D244" s="13"/>
      <c r="E244" s="1138"/>
      <c r="F244" s="1159" t="s">
        <v>762</v>
      </c>
      <c r="G244" s="1129"/>
      <c r="H244" s="1154"/>
      <c r="K244" s="14"/>
      <c r="L244" s="14"/>
      <c r="M244" s="14"/>
      <c r="O244" s="151"/>
      <c r="P244" s="151"/>
      <c r="Q244" s="529">
        <v>0</v>
      </c>
      <c r="R244" s="529">
        <v>0</v>
      </c>
      <c r="S244" s="407"/>
      <c r="T244" s="407"/>
      <c r="U244" s="407"/>
      <c r="X244" s="16"/>
      <c r="Y244" s="16"/>
    </row>
    <row r="245" spans="2:25" s="118" customFormat="1" ht="30">
      <c r="B245" s="841"/>
      <c r="C245" s="1138"/>
      <c r="D245" s="13"/>
      <c r="E245" s="1138"/>
      <c r="F245" s="1158" t="s">
        <v>763</v>
      </c>
      <c r="G245" s="1129"/>
      <c r="H245" s="1154"/>
      <c r="K245" s="14"/>
      <c r="L245" s="14"/>
      <c r="M245" s="14"/>
      <c r="O245" s="151"/>
      <c r="P245" s="151"/>
      <c r="Q245" s="529">
        <v>4008</v>
      </c>
      <c r="R245" s="529">
        <v>4008</v>
      </c>
      <c r="S245" s="874">
        <f>2623.174+1384.826</f>
        <v>4008</v>
      </c>
      <c r="T245" s="407"/>
      <c r="U245" s="407"/>
      <c r="X245" s="16"/>
      <c r="Y245" s="16"/>
    </row>
    <row r="246" spans="2:25" s="118" customFormat="1" ht="15">
      <c r="B246" s="841"/>
      <c r="C246" s="1138"/>
      <c r="D246" s="13"/>
      <c r="E246" s="1138"/>
      <c r="F246" s="1159" t="s">
        <v>764</v>
      </c>
      <c r="G246" s="1129"/>
      <c r="H246" s="1154"/>
      <c r="K246" s="14"/>
      <c r="L246" s="14"/>
      <c r="M246" s="14"/>
      <c r="O246" s="151"/>
      <c r="P246" s="151"/>
      <c r="Q246" s="529">
        <v>0</v>
      </c>
      <c r="R246" s="529">
        <v>0</v>
      </c>
      <c r="S246" s="407"/>
      <c r="T246" s="407"/>
      <c r="U246" s="407"/>
      <c r="X246" s="16"/>
      <c r="Y246" s="16"/>
    </row>
    <row r="247" spans="2:25" s="118" customFormat="1" ht="30">
      <c r="B247" s="841"/>
      <c r="C247" s="1138"/>
      <c r="D247" s="13"/>
      <c r="E247" s="1138"/>
      <c r="F247" s="1158" t="s">
        <v>765</v>
      </c>
      <c r="G247" s="1129"/>
      <c r="H247" s="1154"/>
      <c r="K247" s="14"/>
      <c r="L247" s="14"/>
      <c r="M247" s="14"/>
      <c r="O247" s="151"/>
      <c r="P247" s="151"/>
      <c r="Q247" s="529">
        <f>480000/1000</f>
        <v>480</v>
      </c>
      <c r="R247" s="529">
        <v>480</v>
      </c>
      <c r="S247" s="407"/>
      <c r="T247" s="407"/>
      <c r="U247" s="407"/>
      <c r="X247" s="16"/>
      <c r="Y247" s="16"/>
    </row>
    <row r="248" spans="2:25" s="118" customFormat="1" ht="15">
      <c r="B248" s="841"/>
      <c r="C248" s="1138"/>
      <c r="D248" s="13"/>
      <c r="E248" s="1138"/>
      <c r="F248" s="1158" t="s">
        <v>766</v>
      </c>
      <c r="G248" s="1129"/>
      <c r="H248" s="1154"/>
      <c r="K248" s="14"/>
      <c r="L248" s="14"/>
      <c r="M248" s="14"/>
      <c r="O248" s="151"/>
      <c r="P248" s="151"/>
      <c r="Q248" s="529">
        <f>1656000/1000</f>
        <v>1656</v>
      </c>
      <c r="R248" s="529">
        <v>1656</v>
      </c>
      <c r="S248" s="407"/>
      <c r="T248" s="407"/>
      <c r="U248" s="407"/>
      <c r="X248" s="16"/>
      <c r="Y248" s="16"/>
    </row>
    <row r="249" spans="2:25" s="118" customFormat="1" ht="15">
      <c r="B249" s="841"/>
      <c r="C249" s="1138"/>
      <c r="D249" s="13"/>
      <c r="E249" s="1138"/>
      <c r="F249" s="1159" t="s">
        <v>767</v>
      </c>
      <c r="G249" s="1129"/>
      <c r="H249" s="1154"/>
      <c r="K249" s="14"/>
      <c r="L249" s="14"/>
      <c r="M249" s="14"/>
      <c r="O249" s="151"/>
      <c r="P249" s="151"/>
      <c r="Q249" s="529">
        <v>0</v>
      </c>
      <c r="R249" s="529">
        <v>0</v>
      </c>
      <c r="S249" s="407"/>
      <c r="T249" s="407"/>
      <c r="U249" s="407"/>
      <c r="X249" s="16"/>
      <c r="Y249" s="16"/>
    </row>
    <row r="250" spans="2:25" s="118" customFormat="1" ht="30">
      <c r="B250" s="841"/>
      <c r="C250" s="1138"/>
      <c r="D250" s="13"/>
      <c r="E250" s="1138"/>
      <c r="F250" s="1160" t="s">
        <v>768</v>
      </c>
      <c r="G250" s="1129"/>
      <c r="H250" s="1154"/>
      <c r="K250" s="14"/>
      <c r="L250" s="14"/>
      <c r="M250" s="14"/>
      <c r="O250" s="151"/>
      <c r="P250" s="151"/>
      <c r="Q250" s="529">
        <v>9552</v>
      </c>
      <c r="R250" s="529">
        <v>9552</v>
      </c>
      <c r="S250" s="407">
        <f>199+199</f>
        <v>398</v>
      </c>
      <c r="T250" s="407"/>
      <c r="U250" s="407"/>
      <c r="X250" s="16"/>
      <c r="Y250" s="16"/>
    </row>
    <row r="251" spans="2:25" s="118" customFormat="1" ht="15">
      <c r="B251" s="841"/>
      <c r="C251" s="1138"/>
      <c r="D251" s="13"/>
      <c r="E251" s="1138"/>
      <c r="F251" s="1158" t="s">
        <v>769</v>
      </c>
      <c r="G251" s="1129"/>
      <c r="H251" s="1154"/>
      <c r="K251" s="14"/>
      <c r="L251" s="14"/>
      <c r="M251" s="14"/>
      <c r="O251" s="151"/>
      <c r="P251" s="151"/>
      <c r="Q251" s="529">
        <v>480</v>
      </c>
      <c r="R251" s="529">
        <v>480</v>
      </c>
      <c r="S251" s="407">
        <f>40</f>
        <v>40</v>
      </c>
      <c r="T251" s="407"/>
      <c r="U251" s="407"/>
      <c r="X251" s="16"/>
      <c r="Y251" s="16"/>
    </row>
    <row r="252" spans="2:25" s="118" customFormat="1" ht="15">
      <c r="B252" s="841"/>
      <c r="C252" s="1138"/>
      <c r="D252" s="13"/>
      <c r="E252" s="1138"/>
      <c r="F252" s="1158" t="s">
        <v>770</v>
      </c>
      <c r="G252" s="1129"/>
      <c r="H252" s="1154"/>
      <c r="K252" s="14"/>
      <c r="L252" s="14"/>
      <c r="M252" s="14"/>
      <c r="O252" s="151"/>
      <c r="P252" s="151"/>
      <c r="Q252" s="529">
        <v>7632</v>
      </c>
      <c r="R252" s="529">
        <v>7632</v>
      </c>
      <c r="S252" s="874">
        <f>316+292+436</f>
        <v>1044</v>
      </c>
      <c r="T252" s="407"/>
      <c r="U252" s="407"/>
      <c r="X252" s="16"/>
      <c r="Y252" s="16"/>
    </row>
    <row r="253" spans="2:25" s="118" customFormat="1" ht="15">
      <c r="B253" s="841"/>
      <c r="C253" s="1138"/>
      <c r="D253" s="13"/>
      <c r="E253" s="1138"/>
      <c r="F253" s="1159" t="s">
        <v>771</v>
      </c>
      <c r="G253" s="1129"/>
      <c r="H253" s="1154"/>
      <c r="K253" s="14"/>
      <c r="L253" s="14"/>
      <c r="M253" s="14"/>
      <c r="O253" s="151"/>
      <c r="P253" s="151"/>
      <c r="Q253" s="529">
        <v>0</v>
      </c>
      <c r="R253" s="529">
        <v>0</v>
      </c>
      <c r="S253" s="407"/>
      <c r="T253" s="407"/>
      <c r="U253" s="407"/>
      <c r="X253" s="16"/>
      <c r="Y253" s="16"/>
    </row>
    <row r="254" spans="2:25" s="118" customFormat="1" ht="30">
      <c r="B254" s="841"/>
      <c r="C254" s="1138"/>
      <c r="D254" s="13"/>
      <c r="E254" s="1138"/>
      <c r="F254" s="1158" t="s">
        <v>772</v>
      </c>
      <c r="G254" s="1129"/>
      <c r="H254" s="1154"/>
      <c r="K254" s="14"/>
      <c r="L254" s="14"/>
      <c r="M254" s="14"/>
      <c r="O254" s="151"/>
      <c r="P254" s="151"/>
      <c r="Q254" s="529">
        <v>0</v>
      </c>
      <c r="R254" s="529">
        <v>0</v>
      </c>
      <c r="S254" s="407"/>
      <c r="T254" s="407"/>
      <c r="U254" s="407"/>
      <c r="X254" s="16"/>
      <c r="Y254" s="16"/>
    </row>
    <row r="255" spans="2:25" s="118" customFormat="1" ht="15">
      <c r="B255" s="841"/>
      <c r="C255" s="1138"/>
      <c r="D255" s="13"/>
      <c r="E255" s="1138"/>
      <c r="F255" s="1158" t="s">
        <v>773</v>
      </c>
      <c r="G255" s="1129"/>
      <c r="H255" s="1154"/>
      <c r="K255" s="14"/>
      <c r="L255" s="14"/>
      <c r="M255" s="14"/>
      <c r="O255" s="151"/>
      <c r="P255" s="151"/>
      <c r="Q255" s="529">
        <v>0</v>
      </c>
      <c r="R255" s="529">
        <v>0</v>
      </c>
      <c r="S255" s="407"/>
      <c r="T255" s="407"/>
      <c r="U255" s="407"/>
      <c r="X255" s="16"/>
      <c r="Y255" s="16"/>
    </row>
    <row r="256" spans="2:25" s="118" customFormat="1" ht="30">
      <c r="B256" s="841"/>
      <c r="C256" s="1138"/>
      <c r="D256" s="13"/>
      <c r="E256" s="1138"/>
      <c r="F256" s="1158" t="s">
        <v>774</v>
      </c>
      <c r="G256" s="1129"/>
      <c r="H256" s="1154"/>
      <c r="K256" s="14"/>
      <c r="L256" s="14"/>
      <c r="M256" s="14"/>
      <c r="O256" s="151"/>
      <c r="P256" s="151"/>
      <c r="Q256" s="529">
        <v>0</v>
      </c>
      <c r="R256" s="529">
        <v>0</v>
      </c>
      <c r="S256" s="407"/>
      <c r="T256" s="407"/>
      <c r="U256" s="407"/>
      <c r="X256" s="16"/>
      <c r="Y256" s="16"/>
    </row>
    <row r="257" spans="2:25" s="118" customFormat="1" ht="30">
      <c r="B257" s="841"/>
      <c r="C257" s="1138"/>
      <c r="D257" s="13"/>
      <c r="E257" s="1138"/>
      <c r="F257" s="1157" t="s">
        <v>775</v>
      </c>
      <c r="G257" s="1129"/>
      <c r="H257" s="1154"/>
      <c r="K257" s="14"/>
      <c r="L257" s="14"/>
      <c r="M257" s="14"/>
      <c r="O257" s="151"/>
      <c r="P257" s="151"/>
      <c r="Q257" s="529">
        <v>0</v>
      </c>
      <c r="R257" s="529">
        <v>0</v>
      </c>
      <c r="S257" s="407"/>
      <c r="T257" s="407"/>
      <c r="U257" s="407"/>
      <c r="X257" s="16"/>
      <c r="Y257" s="16"/>
    </row>
    <row r="258" spans="2:25" s="118" customFormat="1" ht="15">
      <c r="B258" s="841"/>
      <c r="C258" s="1138"/>
      <c r="D258" s="13"/>
      <c r="E258" s="1138"/>
      <c r="F258" s="1159" t="s">
        <v>776</v>
      </c>
      <c r="G258" s="1129"/>
      <c r="H258" s="1154"/>
      <c r="K258" s="14"/>
      <c r="L258" s="14"/>
      <c r="M258" s="14"/>
      <c r="O258" s="151"/>
      <c r="P258" s="151"/>
      <c r="Q258" s="529">
        <v>0</v>
      </c>
      <c r="R258" s="529">
        <v>0</v>
      </c>
      <c r="S258" s="407"/>
      <c r="T258" s="407"/>
      <c r="U258" s="407"/>
      <c r="X258" s="16"/>
      <c r="Y258" s="16"/>
    </row>
    <row r="259" spans="2:25" s="118" customFormat="1" ht="30">
      <c r="B259" s="841"/>
      <c r="C259" s="1138"/>
      <c r="D259" s="13"/>
      <c r="E259" s="1138"/>
      <c r="F259" s="1158" t="s">
        <v>777</v>
      </c>
      <c r="G259" s="1129"/>
      <c r="H259" s="1154"/>
      <c r="K259" s="14"/>
      <c r="L259" s="14"/>
      <c r="M259" s="14"/>
      <c r="O259" s="151"/>
      <c r="P259" s="151"/>
      <c r="Q259" s="529">
        <v>0</v>
      </c>
      <c r="R259" s="529">
        <v>0</v>
      </c>
      <c r="S259" s="407"/>
      <c r="T259" s="407"/>
      <c r="U259" s="407"/>
      <c r="X259" s="16"/>
      <c r="Y259" s="16"/>
    </row>
    <row r="260" spans="2:25" s="118" customFormat="1" ht="30">
      <c r="B260" s="841"/>
      <c r="C260" s="1138"/>
      <c r="D260" s="13"/>
      <c r="E260" s="1138"/>
      <c r="F260" s="1157" t="s">
        <v>778</v>
      </c>
      <c r="G260" s="1129"/>
      <c r="H260" s="1154"/>
      <c r="K260" s="14"/>
      <c r="L260" s="14"/>
      <c r="M260" s="14"/>
      <c r="O260" s="151"/>
      <c r="P260" s="151"/>
      <c r="Q260" s="529">
        <v>0</v>
      </c>
      <c r="R260" s="529">
        <v>0</v>
      </c>
      <c r="S260" s="407"/>
      <c r="T260" s="407"/>
      <c r="U260" s="407"/>
      <c r="X260" s="16"/>
      <c r="Y260" s="16"/>
    </row>
    <row r="261" spans="2:25" s="118" customFormat="1" ht="15">
      <c r="B261" s="841"/>
      <c r="C261" s="1138"/>
      <c r="D261" s="13"/>
      <c r="E261" s="1138"/>
      <c r="F261" s="1157" t="s">
        <v>779</v>
      </c>
      <c r="G261" s="1129"/>
      <c r="H261" s="1154"/>
      <c r="K261" s="14"/>
      <c r="L261" s="14"/>
      <c r="M261" s="14"/>
      <c r="O261" s="151"/>
      <c r="P261" s="151"/>
      <c r="Q261" s="529">
        <v>120</v>
      </c>
      <c r="R261" s="529">
        <v>120</v>
      </c>
      <c r="S261" s="407">
        <f>68.52+51.48</f>
        <v>120</v>
      </c>
      <c r="T261" s="407"/>
      <c r="U261" s="407"/>
      <c r="X261" s="16"/>
      <c r="Y261" s="16"/>
    </row>
    <row r="262" spans="2:25" s="118" customFormat="1" ht="30">
      <c r="B262" s="841"/>
      <c r="C262" s="1138"/>
      <c r="D262" s="13"/>
      <c r="E262" s="1138"/>
      <c r="F262" s="1157" t="s">
        <v>780</v>
      </c>
      <c r="G262" s="1129"/>
      <c r="H262" s="1154"/>
      <c r="K262" s="14"/>
      <c r="L262" s="14"/>
      <c r="M262" s="14"/>
      <c r="O262" s="151"/>
      <c r="P262" s="151"/>
      <c r="Q262" s="529">
        <v>12912</v>
      </c>
      <c r="R262" s="529">
        <v>12912</v>
      </c>
      <c r="S262" s="874"/>
      <c r="T262" s="407"/>
      <c r="U262" s="407"/>
      <c r="X262" s="16"/>
      <c r="Y262" s="16"/>
    </row>
    <row r="263" spans="2:25" s="118" customFormat="1" ht="30">
      <c r="B263" s="841"/>
      <c r="C263" s="1138"/>
      <c r="D263" s="13"/>
      <c r="E263" s="1138"/>
      <c r="F263" s="1157" t="s">
        <v>781</v>
      </c>
      <c r="G263" s="1129"/>
      <c r="H263" s="1154"/>
      <c r="K263" s="14"/>
      <c r="L263" s="14"/>
      <c r="M263" s="14"/>
      <c r="O263" s="151"/>
      <c r="P263" s="151"/>
      <c r="Q263" s="529">
        <v>0</v>
      </c>
      <c r="R263" s="529">
        <v>0</v>
      </c>
      <c r="S263" s="407"/>
      <c r="T263" s="407"/>
      <c r="U263" s="407"/>
      <c r="X263" s="16"/>
      <c r="Y263" s="16"/>
    </row>
    <row r="264" spans="2:25" s="118" customFormat="1" ht="15">
      <c r="B264" s="841"/>
      <c r="C264" s="1138"/>
      <c r="D264" s="13"/>
      <c r="E264" s="1138"/>
      <c r="F264" s="1157" t="s">
        <v>782</v>
      </c>
      <c r="G264" s="1129"/>
      <c r="H264" s="1154"/>
      <c r="K264" s="14"/>
      <c r="L264" s="14"/>
      <c r="M264" s="14"/>
      <c r="O264" s="151"/>
      <c r="P264" s="151"/>
      <c r="Q264" s="529">
        <v>480</v>
      </c>
      <c r="R264" s="529">
        <v>480</v>
      </c>
      <c r="S264" s="407">
        <f>295.858+184.142</f>
        <v>480</v>
      </c>
      <c r="T264" s="407"/>
      <c r="U264" s="407"/>
      <c r="X264" s="16"/>
      <c r="Y264" s="16"/>
    </row>
    <row r="265" spans="2:25" s="118" customFormat="1" ht="15">
      <c r="B265" s="841"/>
      <c r="C265" s="1138"/>
      <c r="D265" s="13"/>
      <c r="E265" s="1138"/>
      <c r="F265" s="1159" t="s">
        <v>783</v>
      </c>
      <c r="G265" s="1129"/>
      <c r="H265" s="1154"/>
      <c r="K265" s="14"/>
      <c r="L265" s="14"/>
      <c r="M265" s="14"/>
      <c r="O265" s="151"/>
      <c r="P265" s="151"/>
      <c r="Q265" s="529">
        <v>0</v>
      </c>
      <c r="R265" s="529">
        <v>0</v>
      </c>
      <c r="S265" s="407"/>
      <c r="T265" s="407"/>
      <c r="U265" s="407"/>
      <c r="X265" s="16"/>
      <c r="Y265" s="16"/>
    </row>
    <row r="266" spans="2:25" s="118" customFormat="1" ht="30">
      <c r="B266" s="841"/>
      <c r="C266" s="1138"/>
      <c r="D266" s="13"/>
      <c r="E266" s="1138"/>
      <c r="F266" s="1158" t="s">
        <v>784</v>
      </c>
      <c r="G266" s="1129"/>
      <c r="H266" s="1154"/>
      <c r="K266" s="14"/>
      <c r="L266" s="14"/>
      <c r="M266" s="14"/>
      <c r="O266" s="151"/>
      <c r="P266" s="151"/>
      <c r="Q266" s="529">
        <v>120</v>
      </c>
      <c r="R266" s="529">
        <v>120</v>
      </c>
      <c r="S266" s="407">
        <v>5</v>
      </c>
      <c r="T266" s="407"/>
      <c r="U266" s="407"/>
      <c r="X266" s="16"/>
      <c r="Y266" s="16"/>
    </row>
    <row r="267" spans="2:25" s="118" customFormat="1" ht="30">
      <c r="B267" s="841"/>
      <c r="C267" s="1138"/>
      <c r="D267" s="13"/>
      <c r="E267" s="1138"/>
      <c r="F267" s="1158" t="s">
        <v>785</v>
      </c>
      <c r="G267" s="1129"/>
      <c r="H267" s="1154"/>
      <c r="K267" s="14"/>
      <c r="L267" s="14"/>
      <c r="M267" s="14"/>
      <c r="O267" s="151"/>
      <c r="P267" s="151"/>
      <c r="Q267" s="529">
        <v>4344</v>
      </c>
      <c r="R267" s="529">
        <v>4344</v>
      </c>
      <c r="S267" s="1323" t="s">
        <v>786</v>
      </c>
      <c r="T267" s="1323"/>
      <c r="U267" s="1323"/>
      <c r="X267" s="16"/>
      <c r="Y267" s="16"/>
    </row>
    <row r="268" spans="2:25" s="118" customFormat="1" ht="15">
      <c r="B268" s="841"/>
      <c r="C268" s="1138"/>
      <c r="D268" s="13"/>
      <c r="E268" s="1138"/>
      <c r="F268" s="1159" t="s">
        <v>787</v>
      </c>
      <c r="G268" s="1129"/>
      <c r="H268" s="1154"/>
      <c r="K268" s="14"/>
      <c r="L268" s="14"/>
      <c r="M268" s="14"/>
      <c r="O268" s="151"/>
      <c r="P268" s="151"/>
      <c r="Q268" s="529">
        <v>0</v>
      </c>
      <c r="R268" s="529">
        <v>0</v>
      </c>
      <c r="S268" s="407"/>
      <c r="T268" s="407"/>
      <c r="U268" s="407"/>
      <c r="X268" s="16"/>
      <c r="Y268" s="16"/>
    </row>
    <row r="269" spans="2:25" s="118" customFormat="1" ht="15">
      <c r="B269" s="841"/>
      <c r="C269" s="1138"/>
      <c r="D269" s="13"/>
      <c r="E269" s="1138"/>
      <c r="F269" s="1158" t="s">
        <v>788</v>
      </c>
      <c r="G269" s="1129"/>
      <c r="H269" s="1154"/>
      <c r="K269" s="14"/>
      <c r="L269" s="14"/>
      <c r="M269" s="14"/>
      <c r="O269" s="151"/>
      <c r="P269" s="151"/>
      <c r="Q269" s="529">
        <v>0</v>
      </c>
      <c r="R269" s="529">
        <v>0</v>
      </c>
      <c r="S269" s="407"/>
      <c r="T269" s="407"/>
      <c r="U269" s="407"/>
      <c r="X269" s="16"/>
      <c r="Y269" s="16"/>
    </row>
    <row r="270" spans="2:25" s="118" customFormat="1" ht="15">
      <c r="B270" s="841"/>
      <c r="C270" s="1138"/>
      <c r="D270" s="13"/>
      <c r="E270" s="1138"/>
      <c r="F270" s="1158" t="s">
        <v>789</v>
      </c>
      <c r="G270" s="1129"/>
      <c r="H270" s="1154"/>
      <c r="K270" s="14"/>
      <c r="L270" s="14"/>
      <c r="M270" s="14"/>
      <c r="O270" s="151"/>
      <c r="P270" s="151"/>
      <c r="Q270" s="529">
        <v>0</v>
      </c>
      <c r="R270" s="529">
        <v>0</v>
      </c>
      <c r="S270" s="407"/>
      <c r="T270" s="407"/>
      <c r="U270" s="407"/>
      <c r="X270" s="16"/>
      <c r="Y270" s="16"/>
    </row>
    <row r="271" spans="2:25" s="118" customFormat="1" ht="30">
      <c r="B271" s="841"/>
      <c r="C271" s="1138"/>
      <c r="D271" s="13"/>
      <c r="E271" s="1138"/>
      <c r="F271" s="1158" t="s">
        <v>790</v>
      </c>
      <c r="G271" s="1129"/>
      <c r="H271" s="1154"/>
      <c r="K271" s="14"/>
      <c r="L271" s="14"/>
      <c r="M271" s="14"/>
      <c r="O271" s="151"/>
      <c r="P271" s="151"/>
      <c r="Q271" s="529">
        <v>0</v>
      </c>
      <c r="R271" s="529">
        <v>0</v>
      </c>
      <c r="S271" s="407"/>
      <c r="T271" s="407"/>
      <c r="U271" s="407"/>
      <c r="X271" s="16"/>
      <c r="Y271" s="16"/>
    </row>
    <row r="272" spans="2:25" s="118" customFormat="1" ht="30">
      <c r="B272" s="841"/>
      <c r="C272" s="1138"/>
      <c r="D272" s="13"/>
      <c r="E272" s="1138"/>
      <c r="F272" s="1158" t="s">
        <v>791</v>
      </c>
      <c r="G272" s="1129"/>
      <c r="H272" s="1154"/>
      <c r="K272" s="14"/>
      <c r="L272" s="14"/>
      <c r="M272" s="14"/>
      <c r="O272" s="151"/>
      <c r="P272" s="151"/>
      <c r="Q272" s="529">
        <v>0</v>
      </c>
      <c r="R272" s="529">
        <v>0</v>
      </c>
      <c r="S272" s="407"/>
      <c r="T272" s="407"/>
      <c r="U272" s="407"/>
      <c r="X272" s="16"/>
      <c r="Y272" s="16"/>
    </row>
    <row r="273" spans="2:25" s="118" customFormat="1" ht="30">
      <c r="B273" s="841"/>
      <c r="C273" s="1138"/>
      <c r="D273" s="13"/>
      <c r="E273" s="1138"/>
      <c r="F273" s="1158" t="s">
        <v>792</v>
      </c>
      <c r="G273" s="1129"/>
      <c r="H273" s="1154"/>
      <c r="K273" s="14"/>
      <c r="L273" s="14"/>
      <c r="M273" s="14"/>
      <c r="O273" s="151"/>
      <c r="P273" s="151"/>
      <c r="Q273" s="529">
        <f>2251492.82/1000</f>
        <v>2251.4928199999999</v>
      </c>
      <c r="R273" s="529">
        <f>2251492.82/1000</f>
        <v>2251.4928199999999</v>
      </c>
      <c r="S273" s="874">
        <v>24343</v>
      </c>
      <c r="T273" s="407"/>
      <c r="U273" s="407"/>
      <c r="X273" s="16"/>
      <c r="Y273" s="16"/>
    </row>
    <row r="274" spans="2:25" s="118" customFormat="1" ht="15">
      <c r="B274" s="841"/>
      <c r="C274" s="1138"/>
      <c r="D274" s="13"/>
      <c r="E274" s="1138"/>
      <c r="F274" s="1158" t="s">
        <v>793</v>
      </c>
      <c r="G274" s="1129"/>
      <c r="H274" s="1154"/>
      <c r="K274" s="14"/>
      <c r="L274" s="14"/>
      <c r="M274" s="14"/>
      <c r="O274" s="151"/>
      <c r="P274" s="151"/>
      <c r="Q274" s="529">
        <v>0</v>
      </c>
      <c r="R274" s="529">
        <v>0</v>
      </c>
      <c r="S274" s="407"/>
      <c r="T274" s="407"/>
      <c r="U274" s="407"/>
      <c r="X274" s="16"/>
      <c r="Y274" s="16"/>
    </row>
    <row r="275" spans="2:25" s="118" customFormat="1" ht="30">
      <c r="B275" s="841"/>
      <c r="C275" s="1138"/>
      <c r="D275" s="13"/>
      <c r="E275" s="1138"/>
      <c r="F275" s="1158" t="s">
        <v>794</v>
      </c>
      <c r="G275" s="1129"/>
      <c r="H275" s="1154"/>
      <c r="K275" s="14"/>
      <c r="L275" s="14"/>
      <c r="M275" s="14"/>
      <c r="O275" s="151"/>
      <c r="P275" s="151"/>
      <c r="Q275" s="529">
        <v>0</v>
      </c>
      <c r="R275" s="529">
        <v>0</v>
      </c>
      <c r="S275" s="407"/>
      <c r="T275" s="407"/>
      <c r="U275" s="407"/>
      <c r="X275" s="16"/>
      <c r="Y275" s="16"/>
    </row>
    <row r="276" spans="2:25" s="118" customFormat="1" ht="15">
      <c r="B276" s="841"/>
      <c r="C276" s="1138"/>
      <c r="D276" s="13"/>
      <c r="E276" s="1138"/>
      <c r="F276" s="1159" t="s">
        <v>795</v>
      </c>
      <c r="G276" s="1129"/>
      <c r="H276" s="1154"/>
      <c r="K276" s="14"/>
      <c r="L276" s="14"/>
      <c r="M276" s="14"/>
      <c r="O276" s="151"/>
      <c r="P276" s="151"/>
      <c r="Q276" s="529">
        <v>0</v>
      </c>
      <c r="R276" s="529">
        <v>0</v>
      </c>
      <c r="S276" s="407"/>
      <c r="T276" s="407"/>
      <c r="U276" s="407"/>
      <c r="X276" s="16"/>
      <c r="Y276" s="16"/>
    </row>
    <row r="277" spans="2:25" s="118" customFormat="1" ht="15">
      <c r="B277" s="841"/>
      <c r="C277" s="1138"/>
      <c r="D277" s="13"/>
      <c r="E277" s="1138"/>
      <c r="F277" s="1158" t="s">
        <v>796</v>
      </c>
      <c r="G277" s="1129"/>
      <c r="H277" s="1154"/>
      <c r="K277" s="14"/>
      <c r="L277" s="14"/>
      <c r="M277" s="14"/>
      <c r="O277" s="151"/>
      <c r="P277" s="151"/>
      <c r="Q277" s="529">
        <v>984</v>
      </c>
      <c r="R277" s="529">
        <v>984</v>
      </c>
      <c r="S277" s="407"/>
      <c r="T277" s="407"/>
      <c r="U277" s="407"/>
      <c r="X277" s="16"/>
      <c r="Y277" s="16"/>
    </row>
    <row r="278" spans="2:25" s="118" customFormat="1" ht="45">
      <c r="B278" s="841"/>
      <c r="C278" s="1138"/>
      <c r="D278" s="13"/>
      <c r="E278" s="1138"/>
      <c r="F278" s="1157" t="s">
        <v>797</v>
      </c>
      <c r="G278" s="1129"/>
      <c r="H278" s="1154"/>
      <c r="K278" s="14"/>
      <c r="L278" s="14"/>
      <c r="M278" s="14"/>
      <c r="O278" s="151"/>
      <c r="P278" s="151"/>
      <c r="Q278" s="529">
        <f>2727195.84/1000</f>
        <v>2727.1958399999999</v>
      </c>
      <c r="R278" s="529">
        <f>2727195.84/1000</f>
        <v>2727.1958399999999</v>
      </c>
      <c r="S278" s="874">
        <f>2727195.84/1000</f>
        <v>2727.1958399999999</v>
      </c>
      <c r="T278" s="407"/>
      <c r="U278" s="407"/>
      <c r="X278" s="16"/>
      <c r="Y278" s="16"/>
    </row>
    <row r="279" spans="2:25" s="118" customFormat="1" ht="30">
      <c r="B279" s="841"/>
      <c r="C279" s="1138"/>
      <c r="D279" s="13"/>
      <c r="E279" s="1138"/>
      <c r="F279" s="1158" t="s">
        <v>798</v>
      </c>
      <c r="G279" s="1129"/>
      <c r="H279" s="1154"/>
      <c r="K279" s="14"/>
      <c r="L279" s="14"/>
      <c r="M279" s="14"/>
      <c r="O279" s="151"/>
      <c r="P279" s="151"/>
      <c r="Q279" s="529">
        <v>0</v>
      </c>
      <c r="R279" s="529">
        <v>0</v>
      </c>
      <c r="S279" s="407"/>
      <c r="T279" s="407"/>
      <c r="U279" s="407"/>
      <c r="X279" s="16"/>
      <c r="Y279" s="16"/>
    </row>
    <row r="280" spans="2:25" s="118" customFormat="1" ht="15">
      <c r="B280" s="841"/>
      <c r="C280" s="1138"/>
      <c r="D280" s="13"/>
      <c r="E280" s="1138"/>
      <c r="F280" s="1159" t="s">
        <v>799</v>
      </c>
      <c r="G280" s="1129"/>
      <c r="H280" s="1154"/>
      <c r="K280" s="14"/>
      <c r="L280" s="14"/>
      <c r="M280" s="14"/>
      <c r="O280" s="151"/>
      <c r="P280" s="151"/>
      <c r="Q280" s="529">
        <v>0</v>
      </c>
      <c r="R280" s="529">
        <v>0</v>
      </c>
      <c r="S280" s="407"/>
      <c r="T280" s="407"/>
      <c r="U280" s="407"/>
      <c r="X280" s="16"/>
      <c r="Y280" s="16"/>
    </row>
    <row r="281" spans="2:25" s="118" customFormat="1" ht="15">
      <c r="B281" s="841"/>
      <c r="C281" s="1138"/>
      <c r="D281" s="13"/>
      <c r="E281" s="1138"/>
      <c r="F281" s="1158" t="s">
        <v>800</v>
      </c>
      <c r="G281" s="1129"/>
      <c r="H281" s="1154"/>
      <c r="K281" s="14"/>
      <c r="L281" s="14"/>
      <c r="M281" s="14"/>
      <c r="O281" s="151"/>
      <c r="P281" s="151"/>
      <c r="Q281" s="529">
        <v>0</v>
      </c>
      <c r="R281" s="529">
        <v>0</v>
      </c>
      <c r="S281" s="407"/>
      <c r="T281" s="407"/>
      <c r="U281" s="407"/>
      <c r="X281" s="16"/>
      <c r="Y281" s="16"/>
    </row>
    <row r="282" spans="2:25" s="118" customFormat="1" ht="30">
      <c r="B282" s="841"/>
      <c r="C282" s="1138"/>
      <c r="D282" s="13"/>
      <c r="E282" s="1138"/>
      <c r="F282" s="1157" t="s">
        <v>801</v>
      </c>
      <c r="G282" s="1129"/>
      <c r="H282" s="1154"/>
      <c r="K282" s="14"/>
      <c r="L282" s="14"/>
      <c r="M282" s="14"/>
      <c r="O282" s="151"/>
      <c r="P282" s="151"/>
      <c r="Q282" s="529">
        <v>0</v>
      </c>
      <c r="R282" s="529">
        <v>0</v>
      </c>
      <c r="S282" s="407"/>
      <c r="T282" s="407"/>
      <c r="U282" s="407"/>
      <c r="X282" s="16"/>
      <c r="Y282" s="16"/>
    </row>
    <row r="283" spans="2:25" s="118" customFormat="1" ht="15">
      <c r="B283" s="841"/>
      <c r="C283" s="1138"/>
      <c r="D283" s="13"/>
      <c r="E283" s="1138"/>
      <c r="F283" s="1159" t="s">
        <v>802</v>
      </c>
      <c r="G283" s="1129"/>
      <c r="H283" s="1154"/>
      <c r="K283" s="14"/>
      <c r="L283" s="14"/>
      <c r="M283" s="14"/>
      <c r="O283" s="151"/>
      <c r="P283" s="151"/>
      <c r="Q283" s="529">
        <v>0</v>
      </c>
      <c r="R283" s="529">
        <v>0</v>
      </c>
      <c r="S283" s="407"/>
      <c r="T283" s="407"/>
      <c r="U283" s="407"/>
      <c r="X283" s="16"/>
      <c r="Y283" s="16"/>
    </row>
    <row r="284" spans="2:25" s="118" customFormat="1" ht="30">
      <c r="B284" s="841"/>
      <c r="C284" s="1138"/>
      <c r="D284" s="13"/>
      <c r="E284" s="1138"/>
      <c r="F284" s="1157" t="s">
        <v>803</v>
      </c>
      <c r="G284" s="1129"/>
      <c r="H284" s="1154"/>
      <c r="K284" s="14"/>
      <c r="L284" s="14"/>
      <c r="M284" s="14"/>
      <c r="O284" s="151"/>
      <c r="P284" s="151"/>
      <c r="Q284" s="529">
        <v>0</v>
      </c>
      <c r="R284" s="529">
        <v>0</v>
      </c>
      <c r="S284" s="407"/>
      <c r="T284" s="407"/>
      <c r="U284" s="407"/>
      <c r="X284" s="16"/>
      <c r="Y284" s="16"/>
    </row>
    <row r="285" spans="2:25" s="118" customFormat="1" ht="15">
      <c r="B285" s="841"/>
      <c r="C285" s="1138"/>
      <c r="D285" s="13"/>
      <c r="E285" s="1138"/>
      <c r="F285" s="1157" t="s">
        <v>804</v>
      </c>
      <c r="G285" s="1129"/>
      <c r="H285" s="1154"/>
      <c r="K285" s="14"/>
      <c r="L285" s="14"/>
      <c r="M285" s="14"/>
      <c r="O285" s="151"/>
      <c r="P285" s="151"/>
      <c r="Q285" s="529">
        <v>480</v>
      </c>
      <c r="R285" s="529">
        <v>480</v>
      </c>
      <c r="S285" s="876" t="s">
        <v>5706</v>
      </c>
      <c r="T285" s="407"/>
      <c r="U285" s="407" t="s">
        <v>6235</v>
      </c>
      <c r="X285" s="16"/>
      <c r="Y285" s="16"/>
    </row>
    <row r="286" spans="2:25" s="118" customFormat="1" ht="15">
      <c r="B286" s="841"/>
      <c r="C286" s="1138"/>
      <c r="D286" s="13"/>
      <c r="E286" s="1138"/>
      <c r="F286" s="1159" t="s">
        <v>805</v>
      </c>
      <c r="G286" s="1129"/>
      <c r="H286" s="1154"/>
      <c r="K286" s="14"/>
      <c r="L286" s="14"/>
      <c r="M286" s="14"/>
      <c r="O286" s="151"/>
      <c r="P286" s="151"/>
      <c r="Q286" s="529">
        <v>0</v>
      </c>
      <c r="R286" s="529">
        <v>0</v>
      </c>
      <c r="S286" s="407"/>
      <c r="T286" s="407"/>
      <c r="U286" s="407"/>
      <c r="X286" s="16"/>
      <c r="Y286" s="16"/>
    </row>
    <row r="287" spans="2:25" s="118" customFormat="1" ht="15">
      <c r="B287" s="841"/>
      <c r="C287" s="1138"/>
      <c r="D287" s="13"/>
      <c r="E287" s="1138"/>
      <c r="F287" s="1158" t="s">
        <v>806</v>
      </c>
      <c r="G287" s="1129"/>
      <c r="H287" s="1154"/>
      <c r="K287" s="14"/>
      <c r="L287" s="14"/>
      <c r="M287" s="14"/>
      <c r="O287" s="151"/>
      <c r="P287" s="151"/>
      <c r="Q287" s="529">
        <v>0</v>
      </c>
      <c r="R287" s="529">
        <v>0</v>
      </c>
      <c r="S287" s="407"/>
      <c r="T287" s="407"/>
      <c r="U287" s="407"/>
      <c r="X287" s="16"/>
      <c r="Y287" s="16"/>
    </row>
    <row r="288" spans="2:25" s="118" customFormat="1" ht="30">
      <c r="B288" s="841"/>
      <c r="C288" s="1138"/>
      <c r="D288" s="13"/>
      <c r="E288" s="1138"/>
      <c r="F288" s="1158" t="s">
        <v>807</v>
      </c>
      <c r="G288" s="1129"/>
      <c r="H288" s="1154"/>
      <c r="K288" s="14"/>
      <c r="L288" s="14"/>
      <c r="M288" s="14"/>
      <c r="O288" s="151"/>
      <c r="P288" s="151"/>
      <c r="Q288" s="529">
        <v>0</v>
      </c>
      <c r="R288" s="529">
        <v>0</v>
      </c>
      <c r="S288" s="407"/>
      <c r="T288" s="407"/>
      <c r="U288" s="407"/>
      <c r="X288" s="16"/>
      <c r="Y288" s="16"/>
    </row>
    <row r="289" spans="2:25" s="118" customFormat="1" ht="15">
      <c r="B289" s="841"/>
      <c r="C289" s="1138"/>
      <c r="D289" s="13"/>
      <c r="E289" s="1138"/>
      <c r="F289" s="1159" t="s">
        <v>808</v>
      </c>
      <c r="G289" s="1129"/>
      <c r="H289" s="1154"/>
      <c r="K289" s="14"/>
      <c r="L289" s="14"/>
      <c r="M289" s="14"/>
      <c r="O289" s="151"/>
      <c r="P289" s="151"/>
      <c r="Q289" s="529">
        <v>0</v>
      </c>
      <c r="R289" s="529">
        <v>0</v>
      </c>
      <c r="S289" s="407"/>
      <c r="T289" s="407"/>
      <c r="U289" s="407"/>
      <c r="X289" s="16"/>
      <c r="Y289" s="16"/>
    </row>
    <row r="290" spans="2:25" s="118" customFormat="1" ht="15">
      <c r="B290" s="841"/>
      <c r="C290" s="1138"/>
      <c r="D290" s="13"/>
      <c r="E290" s="1138"/>
      <c r="F290" s="1158" t="s">
        <v>809</v>
      </c>
      <c r="G290" s="1129"/>
      <c r="H290" s="1154"/>
      <c r="K290" s="14"/>
      <c r="L290" s="14"/>
      <c r="M290" s="14"/>
      <c r="O290" s="151"/>
      <c r="P290" s="151"/>
      <c r="Q290" s="529">
        <v>9384</v>
      </c>
      <c r="R290" s="529">
        <v>9384</v>
      </c>
      <c r="S290" s="407" t="s">
        <v>810</v>
      </c>
      <c r="T290" s="407"/>
      <c r="U290" s="407"/>
      <c r="X290" s="16"/>
      <c r="Y290" s="16"/>
    </row>
    <row r="291" spans="2:25" s="118" customFormat="1" ht="15">
      <c r="B291" s="841"/>
      <c r="C291" s="1138"/>
      <c r="D291" s="13"/>
      <c r="E291" s="1138"/>
      <c r="F291" s="1158" t="s">
        <v>811</v>
      </c>
      <c r="G291" s="1129"/>
      <c r="H291" s="1154"/>
      <c r="K291" s="14"/>
      <c r="L291" s="14"/>
      <c r="M291" s="14"/>
      <c r="O291" s="151"/>
      <c r="P291" s="151"/>
      <c r="Q291" s="529">
        <v>6336</v>
      </c>
      <c r="R291" s="529">
        <v>6336</v>
      </c>
      <c r="S291" s="407"/>
      <c r="T291" s="407"/>
      <c r="U291" s="407"/>
      <c r="X291" s="16"/>
      <c r="Y291" s="16"/>
    </row>
    <row r="292" spans="2:25" s="118" customFormat="1" ht="30">
      <c r="B292" s="841"/>
      <c r="C292" s="1138"/>
      <c r="D292" s="13"/>
      <c r="E292" s="1138"/>
      <c r="F292" s="1158" t="s">
        <v>812</v>
      </c>
      <c r="G292" s="1129"/>
      <c r="H292" s="1154"/>
      <c r="K292" s="14"/>
      <c r="L292" s="14"/>
      <c r="M292" s="14"/>
      <c r="O292" s="151"/>
      <c r="P292" s="151"/>
      <c r="Q292" s="529">
        <v>0</v>
      </c>
      <c r="R292" s="529">
        <v>0</v>
      </c>
      <c r="S292" s="407"/>
      <c r="T292" s="407"/>
      <c r="U292" s="407"/>
      <c r="X292" s="16"/>
      <c r="Y292" s="16"/>
    </row>
    <row r="293" spans="2:25" s="118" customFormat="1" ht="15">
      <c r="B293" s="841"/>
      <c r="C293" s="1138"/>
      <c r="D293" s="13"/>
      <c r="E293" s="1138"/>
      <c r="F293" s="1158" t="s">
        <v>813</v>
      </c>
      <c r="G293" s="1129"/>
      <c r="H293" s="1154"/>
      <c r="K293" s="14"/>
      <c r="L293" s="14"/>
      <c r="M293" s="14"/>
      <c r="O293" s="151"/>
      <c r="P293" s="151"/>
      <c r="Q293" s="529">
        <v>3024</v>
      </c>
      <c r="R293" s="529">
        <v>3024</v>
      </c>
      <c r="S293" s="407"/>
      <c r="T293" s="407"/>
      <c r="U293" s="407"/>
      <c r="X293" s="16"/>
      <c r="Y293" s="16"/>
    </row>
    <row r="294" spans="2:25" s="118" customFormat="1" ht="30">
      <c r="B294" s="841"/>
      <c r="C294" s="1138"/>
      <c r="D294" s="13"/>
      <c r="E294" s="1138"/>
      <c r="F294" s="1158" t="s">
        <v>814</v>
      </c>
      <c r="G294" s="1129"/>
      <c r="H294" s="1154"/>
      <c r="K294" s="14"/>
      <c r="L294" s="14"/>
      <c r="M294" s="14"/>
      <c r="O294" s="151"/>
      <c r="P294" s="151"/>
      <c r="Q294" s="529">
        <v>0</v>
      </c>
      <c r="R294" s="529">
        <v>0</v>
      </c>
      <c r="S294" s="407"/>
      <c r="T294" s="407"/>
      <c r="U294" s="407"/>
      <c r="X294" s="16"/>
      <c r="Y294" s="16"/>
    </row>
    <row r="295" spans="2:25" s="118" customFormat="1" ht="15">
      <c r="B295" s="841"/>
      <c r="C295" s="1138"/>
      <c r="D295" s="13"/>
      <c r="E295" s="1138"/>
      <c r="F295" s="1158" t="s">
        <v>815</v>
      </c>
      <c r="G295" s="1129"/>
      <c r="H295" s="1154"/>
      <c r="K295" s="14"/>
      <c r="L295" s="14"/>
      <c r="M295" s="14"/>
      <c r="O295" s="151"/>
      <c r="P295" s="151"/>
      <c r="Q295" s="529">
        <v>8016</v>
      </c>
      <c r="R295" s="529">
        <v>0</v>
      </c>
      <c r="S295" s="407"/>
      <c r="T295" s="407"/>
      <c r="U295" s="407"/>
      <c r="X295" s="16"/>
      <c r="Y295" s="16"/>
    </row>
    <row r="296" spans="2:25" s="118" customFormat="1" ht="15">
      <c r="B296" s="841"/>
      <c r="C296" s="1138"/>
      <c r="D296" s="13"/>
      <c r="E296" s="1138"/>
      <c r="F296" s="1158" t="s">
        <v>816</v>
      </c>
      <c r="G296" s="1129"/>
      <c r="H296" s="1154"/>
      <c r="K296" s="14"/>
      <c r="L296" s="14"/>
      <c r="M296" s="14"/>
      <c r="O296" s="151"/>
      <c r="P296" s="151"/>
      <c r="Q296" s="529">
        <v>0</v>
      </c>
      <c r="R296" s="529">
        <v>0</v>
      </c>
      <c r="S296" s="407"/>
      <c r="T296" s="407"/>
      <c r="U296" s="407"/>
      <c r="X296" s="16"/>
      <c r="Y296" s="16"/>
    </row>
    <row r="297" spans="2:25" s="118" customFormat="1" ht="30">
      <c r="B297" s="841"/>
      <c r="C297" s="1138"/>
      <c r="D297" s="13"/>
      <c r="E297" s="1138"/>
      <c r="F297" s="1158" t="s">
        <v>817</v>
      </c>
      <c r="G297" s="1129"/>
      <c r="H297" s="1154"/>
      <c r="K297" s="14"/>
      <c r="L297" s="14"/>
      <c r="M297" s="14"/>
      <c r="O297" s="151"/>
      <c r="P297" s="151"/>
      <c r="Q297" s="529">
        <v>5088</v>
      </c>
      <c r="R297" s="529">
        <v>5088</v>
      </c>
      <c r="S297" s="407"/>
      <c r="T297" s="407"/>
      <c r="U297" s="407"/>
      <c r="X297" s="16"/>
      <c r="Y297" s="16"/>
    </row>
    <row r="298" spans="2:25" s="118" customFormat="1" ht="15">
      <c r="B298" s="841"/>
      <c r="C298" s="1138"/>
      <c r="D298" s="13"/>
      <c r="E298" s="1138"/>
      <c r="F298" s="1158" t="s">
        <v>818</v>
      </c>
      <c r="G298" s="1129"/>
      <c r="H298" s="1154"/>
      <c r="K298" s="14"/>
      <c r="L298" s="14"/>
      <c r="M298" s="14"/>
      <c r="O298" s="151"/>
      <c r="P298" s="151"/>
      <c r="Q298" s="529">
        <f>2073327.27/1000</f>
        <v>2073.3272700000002</v>
      </c>
      <c r="R298" s="529">
        <f>2073327.27/1000</f>
        <v>2073.3272700000002</v>
      </c>
      <c r="S298" s="407" t="s">
        <v>819</v>
      </c>
      <c r="T298" s="407"/>
      <c r="U298" s="407"/>
      <c r="X298" s="16"/>
      <c r="Y298" s="16"/>
    </row>
    <row r="299" spans="2:25" s="118" customFormat="1" ht="15">
      <c r="B299" s="841"/>
      <c r="C299" s="1138"/>
      <c r="D299" s="13"/>
      <c r="E299" s="1138"/>
      <c r="F299" s="1158" t="s">
        <v>820</v>
      </c>
      <c r="G299" s="1129"/>
      <c r="H299" s="1154"/>
      <c r="K299" s="14"/>
      <c r="L299" s="14"/>
      <c r="M299" s="14"/>
      <c r="O299" s="151"/>
      <c r="P299" s="151"/>
      <c r="Q299" s="529">
        <v>0</v>
      </c>
      <c r="R299" s="529">
        <v>0</v>
      </c>
      <c r="S299" s="407"/>
      <c r="T299" s="407"/>
      <c r="U299" s="407"/>
      <c r="X299" s="16"/>
      <c r="Y299" s="16"/>
    </row>
    <row r="300" spans="2:25" s="118" customFormat="1" ht="21" customHeight="1">
      <c r="B300" s="841"/>
      <c r="C300" s="1138"/>
      <c r="D300" s="13"/>
      <c r="E300" s="1138"/>
      <c r="F300" s="1161" t="s">
        <v>821</v>
      </c>
      <c r="G300" s="1129"/>
      <c r="H300" s="1154"/>
      <c r="K300" s="14"/>
      <c r="L300" s="14"/>
      <c r="M300" s="14"/>
      <c r="O300" s="151"/>
      <c r="P300" s="151"/>
      <c r="Q300" s="529">
        <v>9600</v>
      </c>
      <c r="R300" s="529">
        <v>9600</v>
      </c>
      <c r="S300" s="1323" t="s">
        <v>822</v>
      </c>
      <c r="T300" s="1323"/>
      <c r="U300" s="1323"/>
      <c r="X300" s="16"/>
      <c r="Y300" s="16"/>
    </row>
    <row r="301" spans="2:25" s="118" customFormat="1" ht="30">
      <c r="B301" s="841"/>
      <c r="C301" s="1138"/>
      <c r="D301" s="13"/>
      <c r="E301" s="1138"/>
      <c r="F301" s="1158" t="s">
        <v>823</v>
      </c>
      <c r="G301" s="1129"/>
      <c r="H301" s="1154"/>
      <c r="K301" s="14"/>
      <c r="L301" s="14"/>
      <c r="M301" s="14"/>
      <c r="O301" s="151"/>
      <c r="P301" s="151"/>
      <c r="Q301" s="529">
        <f>6935018.27/1000</f>
        <v>6935.0182699999996</v>
      </c>
      <c r="R301" s="529">
        <f>6935048.27/1000</f>
        <v>6935.0482699999993</v>
      </c>
      <c r="S301" s="407">
        <f>271+47</f>
        <v>318</v>
      </c>
      <c r="T301" s="407"/>
      <c r="U301" s="407"/>
      <c r="X301" s="16"/>
      <c r="Y301" s="16"/>
    </row>
    <row r="302" spans="2:25" s="118" customFormat="1" ht="15">
      <c r="B302" s="841"/>
      <c r="C302" s="1138"/>
      <c r="D302" s="13"/>
      <c r="E302" s="1138"/>
      <c r="F302" s="1158"/>
      <c r="G302" s="1129"/>
      <c r="H302" s="1154"/>
      <c r="K302" s="14"/>
      <c r="L302" s="14"/>
      <c r="M302" s="14"/>
      <c r="O302" s="151"/>
      <c r="P302" s="151"/>
      <c r="Q302" s="529">
        <v>0</v>
      </c>
      <c r="R302" s="529">
        <v>0</v>
      </c>
      <c r="S302" s="407"/>
      <c r="T302" s="407"/>
      <c r="U302" s="407"/>
      <c r="X302" s="16"/>
      <c r="Y302" s="16"/>
    </row>
    <row r="303" spans="2:25" s="118" customFormat="1" ht="15">
      <c r="B303" s="841"/>
      <c r="C303" s="1138"/>
      <c r="D303" s="13"/>
      <c r="E303" s="1138"/>
      <c r="F303" s="1159" t="s">
        <v>824</v>
      </c>
      <c r="G303" s="1129"/>
      <c r="H303" s="1154"/>
      <c r="K303" s="14"/>
      <c r="L303" s="14"/>
      <c r="M303" s="14"/>
      <c r="O303" s="151"/>
      <c r="P303" s="151"/>
      <c r="Q303" s="529">
        <v>0</v>
      </c>
      <c r="R303" s="529">
        <v>0</v>
      </c>
      <c r="S303" s="407"/>
      <c r="T303" s="407"/>
      <c r="U303" s="407"/>
      <c r="X303" s="16"/>
      <c r="Y303" s="16"/>
    </row>
    <row r="304" spans="2:25" s="118" customFormat="1" ht="15" customHeight="1">
      <c r="B304" s="841"/>
      <c r="C304" s="1138"/>
      <c r="D304" s="13"/>
      <c r="E304" s="1138"/>
      <c r="F304" s="1158" t="s">
        <v>825</v>
      </c>
      <c r="G304" s="1129"/>
      <c r="H304" s="1154"/>
      <c r="K304" s="14"/>
      <c r="L304" s="14"/>
      <c r="M304" s="14"/>
      <c r="O304" s="151"/>
      <c r="P304" s="151"/>
      <c r="Q304" s="529">
        <f>660523.44/1000</f>
        <v>660.52343999999994</v>
      </c>
      <c r="R304" s="529">
        <v>0</v>
      </c>
      <c r="S304" s="407" t="s">
        <v>826</v>
      </c>
      <c r="T304" s="407"/>
      <c r="U304" s="407"/>
      <c r="X304" s="16"/>
      <c r="Y304" s="16"/>
    </row>
    <row r="305" spans="2:25" s="118" customFormat="1" ht="15">
      <c r="B305" s="841"/>
      <c r="C305" s="1138"/>
      <c r="D305" s="13"/>
      <c r="E305" s="1138"/>
      <c r="F305" s="1158" t="s">
        <v>827</v>
      </c>
      <c r="G305" s="1129"/>
      <c r="H305" s="1154"/>
      <c r="K305" s="14"/>
      <c r="L305" s="14"/>
      <c r="M305" s="14"/>
      <c r="O305" s="151"/>
      <c r="P305" s="151"/>
      <c r="Q305" s="529">
        <v>0</v>
      </c>
      <c r="R305" s="529">
        <v>0</v>
      </c>
      <c r="S305" s="407"/>
      <c r="T305" s="407"/>
      <c r="U305" s="407"/>
      <c r="X305" s="16"/>
      <c r="Y305" s="16"/>
    </row>
    <row r="306" spans="2:25" s="118" customFormat="1" ht="15">
      <c r="B306" s="841"/>
      <c r="C306" s="1138"/>
      <c r="D306" s="13"/>
      <c r="E306" s="1138"/>
      <c r="F306" s="1158" t="s">
        <v>828</v>
      </c>
      <c r="G306" s="1129"/>
      <c r="H306" s="1154"/>
      <c r="K306" s="14"/>
      <c r="L306" s="14"/>
      <c r="M306" s="14"/>
      <c r="O306" s="151"/>
      <c r="P306" s="151"/>
      <c r="Q306" s="529">
        <v>3774</v>
      </c>
      <c r="R306" s="529">
        <v>3774</v>
      </c>
      <c r="S306" s="407" t="s">
        <v>829</v>
      </c>
      <c r="T306" s="407"/>
      <c r="U306" s="407"/>
      <c r="X306" s="16"/>
      <c r="Y306" s="16"/>
    </row>
    <row r="307" spans="2:25" s="118" customFormat="1" ht="15">
      <c r="B307" s="841"/>
      <c r="C307" s="1138"/>
      <c r="D307" s="13"/>
      <c r="E307" s="1138"/>
      <c r="F307" s="1158" t="s">
        <v>830</v>
      </c>
      <c r="G307" s="1129"/>
      <c r="H307" s="1154"/>
      <c r="K307" s="14"/>
      <c r="L307" s="14"/>
      <c r="M307" s="14"/>
      <c r="O307" s="151"/>
      <c r="P307" s="151"/>
      <c r="Q307" s="529">
        <v>0</v>
      </c>
      <c r="R307" s="529">
        <v>0</v>
      </c>
      <c r="S307" s="407"/>
      <c r="T307" s="407"/>
      <c r="U307" s="407"/>
      <c r="X307" s="16"/>
      <c r="Y307" s="16"/>
    </row>
    <row r="308" spans="2:25" s="118" customFormat="1" ht="15">
      <c r="B308" s="841"/>
      <c r="C308" s="1138"/>
      <c r="D308" s="13"/>
      <c r="E308" s="1138"/>
      <c r="F308" s="1158" t="s">
        <v>831</v>
      </c>
      <c r="G308" s="1129"/>
      <c r="H308" s="1154"/>
      <c r="K308" s="14"/>
      <c r="L308" s="14"/>
      <c r="M308" s="14"/>
      <c r="O308" s="151"/>
      <c r="P308" s="151"/>
      <c r="Q308" s="529">
        <v>2202</v>
      </c>
      <c r="R308" s="529">
        <v>2202</v>
      </c>
      <c r="S308" s="407" t="s">
        <v>832</v>
      </c>
      <c r="T308" s="407"/>
      <c r="U308" s="407"/>
      <c r="X308" s="16"/>
      <c r="Y308" s="16"/>
    </row>
    <row r="309" spans="2:25" s="118" customFormat="1" ht="15">
      <c r="B309" s="841"/>
      <c r="C309" s="1138"/>
      <c r="D309" s="13"/>
      <c r="E309" s="1138"/>
      <c r="F309" s="1158" t="s">
        <v>833</v>
      </c>
      <c r="G309" s="1129"/>
      <c r="H309" s="1154"/>
      <c r="K309" s="14"/>
      <c r="L309" s="14"/>
      <c r="M309" s="14"/>
      <c r="O309" s="151"/>
      <c r="P309" s="151"/>
      <c r="Q309" s="529">
        <v>3990</v>
      </c>
      <c r="R309" s="529">
        <v>3990</v>
      </c>
      <c r="S309" s="407"/>
      <c r="T309" s="407"/>
      <c r="U309" s="407"/>
      <c r="X309" s="16"/>
      <c r="Y309" s="16"/>
    </row>
    <row r="310" spans="2:25" s="118" customFormat="1" ht="15">
      <c r="B310" s="841"/>
      <c r="C310" s="1138"/>
      <c r="D310" s="13"/>
      <c r="E310" s="1138"/>
      <c r="F310" s="1158" t="s">
        <v>834</v>
      </c>
      <c r="G310" s="1129"/>
      <c r="H310" s="1154"/>
      <c r="K310" s="14"/>
      <c r="L310" s="14"/>
      <c r="M310" s="14"/>
      <c r="O310" s="151"/>
      <c r="P310" s="151"/>
      <c r="Q310" s="529">
        <v>1338</v>
      </c>
      <c r="R310" s="529">
        <v>1338</v>
      </c>
      <c r="S310" s="407" t="s">
        <v>835</v>
      </c>
      <c r="T310" s="407"/>
      <c r="U310" s="407"/>
      <c r="X310" s="16"/>
      <c r="Y310" s="16"/>
    </row>
    <row r="311" spans="2:25" s="118" customFormat="1" ht="15">
      <c r="B311" s="841"/>
      <c r="C311" s="1138"/>
      <c r="D311" s="13"/>
      <c r="E311" s="1138"/>
      <c r="F311" s="1158" t="s">
        <v>836</v>
      </c>
      <c r="G311" s="1129"/>
      <c r="H311" s="1154"/>
      <c r="K311" s="14"/>
      <c r="L311" s="14"/>
      <c r="M311" s="14"/>
      <c r="O311" s="151"/>
      <c r="P311" s="151"/>
      <c r="Q311" s="529">
        <v>0</v>
      </c>
      <c r="R311" s="529">
        <v>0</v>
      </c>
      <c r="S311" s="407"/>
      <c r="T311" s="407"/>
      <c r="U311" s="407"/>
      <c r="X311" s="16"/>
      <c r="Y311" s="16"/>
    </row>
    <row r="312" spans="2:25" s="118" customFormat="1" ht="15">
      <c r="B312" s="841"/>
      <c r="C312" s="1138"/>
      <c r="D312" s="13"/>
      <c r="E312" s="1138"/>
      <c r="F312" s="1158" t="s">
        <v>837</v>
      </c>
      <c r="G312" s="1129"/>
      <c r="H312" s="1154"/>
      <c r="K312" s="14"/>
      <c r="L312" s="14"/>
      <c r="M312" s="14"/>
      <c r="O312" s="151"/>
      <c r="P312" s="151"/>
      <c r="Q312" s="529">
        <f>5560299.89/1000</f>
        <v>5560.2998899999993</v>
      </c>
      <c r="R312" s="529">
        <f>5560299.89/1000</f>
        <v>5560.2998899999993</v>
      </c>
      <c r="S312" s="407"/>
      <c r="T312" s="407"/>
      <c r="U312" s="407"/>
      <c r="X312" s="16"/>
      <c r="Y312" s="16"/>
    </row>
    <row r="313" spans="2:25" s="118" customFormat="1" ht="15">
      <c r="B313" s="841"/>
      <c r="C313" s="1138"/>
      <c r="D313" s="13"/>
      <c r="E313" s="1138"/>
      <c r="F313" s="1158" t="s">
        <v>838</v>
      </c>
      <c r="G313" s="1129"/>
      <c r="H313" s="1154"/>
      <c r="K313" s="14"/>
      <c r="L313" s="14"/>
      <c r="M313" s="14"/>
      <c r="O313" s="151"/>
      <c r="P313" s="151"/>
      <c r="Q313" s="529">
        <f>4618866.96/1000</f>
        <v>4618.8669600000003</v>
      </c>
      <c r="R313" s="529">
        <f>4618866.96/1000</f>
        <v>4618.8669600000003</v>
      </c>
      <c r="S313" s="407"/>
      <c r="T313" s="407"/>
      <c r="U313" s="407"/>
      <c r="X313" s="16"/>
      <c r="Y313" s="16"/>
    </row>
    <row r="314" spans="2:25" s="118" customFormat="1" ht="15">
      <c r="B314" s="841"/>
      <c r="C314" s="1138"/>
      <c r="D314" s="13"/>
      <c r="E314" s="1138"/>
      <c r="F314" s="1158" t="s">
        <v>839</v>
      </c>
      <c r="G314" s="1129"/>
      <c r="H314" s="1154"/>
      <c r="K314" s="14"/>
      <c r="L314" s="14"/>
      <c r="M314" s="14"/>
      <c r="O314" s="151"/>
      <c r="P314" s="151"/>
      <c r="Q314" s="529">
        <v>0</v>
      </c>
      <c r="R314" s="529">
        <v>0</v>
      </c>
      <c r="S314" s="407"/>
      <c r="T314" s="407"/>
      <c r="U314" s="407"/>
      <c r="X314" s="16"/>
      <c r="Y314" s="16"/>
    </row>
    <row r="315" spans="2:25" s="118" customFormat="1" ht="15">
      <c r="B315" s="841"/>
      <c r="C315" s="1138"/>
      <c r="D315" s="13"/>
      <c r="E315" s="1138"/>
      <c r="F315" s="1158" t="s">
        <v>840</v>
      </c>
      <c r="G315" s="1129"/>
      <c r="H315" s="1154"/>
      <c r="K315" s="14"/>
      <c r="L315" s="14"/>
      <c r="M315" s="14"/>
      <c r="O315" s="151"/>
      <c r="P315" s="151"/>
      <c r="Q315" s="529">
        <v>0</v>
      </c>
      <c r="R315" s="529">
        <v>0</v>
      </c>
      <c r="S315" s="407"/>
      <c r="T315" s="407"/>
      <c r="U315" s="407"/>
      <c r="X315" s="16"/>
      <c r="Y315" s="16"/>
    </row>
    <row r="316" spans="2:25" s="118" customFormat="1" ht="15">
      <c r="B316" s="841"/>
      <c r="C316" s="1138"/>
      <c r="D316" s="13"/>
      <c r="E316" s="1138"/>
      <c r="F316" s="1158" t="s">
        <v>841</v>
      </c>
      <c r="G316" s="1129"/>
      <c r="H316" s="1154"/>
      <c r="K316" s="14"/>
      <c r="L316" s="14"/>
      <c r="M316" s="14"/>
      <c r="O316" s="151"/>
      <c r="P316" s="151"/>
      <c r="Q316" s="529">
        <v>0</v>
      </c>
      <c r="R316" s="529">
        <v>0</v>
      </c>
      <c r="S316" s="407"/>
      <c r="T316" s="407"/>
      <c r="U316" s="407"/>
      <c r="X316" s="16"/>
      <c r="Y316" s="16"/>
    </row>
    <row r="317" spans="2:25" s="118" customFormat="1" ht="15">
      <c r="B317" s="841"/>
      <c r="C317" s="1138"/>
      <c r="D317" s="13"/>
      <c r="E317" s="1138"/>
      <c r="F317" s="1158" t="s">
        <v>842</v>
      </c>
      <c r="G317" s="1129"/>
      <c r="H317" s="1154"/>
      <c r="K317" s="14"/>
      <c r="L317" s="14"/>
      <c r="M317" s="14"/>
      <c r="O317" s="151"/>
      <c r="P317" s="151"/>
      <c r="Q317" s="529">
        <v>0</v>
      </c>
      <c r="R317" s="529">
        <v>0</v>
      </c>
      <c r="S317" s="407"/>
      <c r="T317" s="407"/>
      <c r="U317" s="407"/>
      <c r="X317" s="16"/>
      <c r="Y317" s="16"/>
    </row>
    <row r="318" spans="2:25" s="118" customFormat="1" ht="15">
      <c r="B318" s="841"/>
      <c r="C318" s="1138"/>
      <c r="D318" s="13"/>
      <c r="E318" s="1138"/>
      <c r="F318" s="1158" t="s">
        <v>843</v>
      </c>
      <c r="G318" s="1129"/>
      <c r="H318" s="1154"/>
      <c r="K318" s="14"/>
      <c r="L318" s="14"/>
      <c r="M318" s="14"/>
      <c r="O318" s="151"/>
      <c r="P318" s="151"/>
      <c r="Q318" s="529">
        <v>996</v>
      </c>
      <c r="R318" s="529">
        <v>996</v>
      </c>
      <c r="S318" s="407"/>
      <c r="T318" s="407"/>
      <c r="U318" s="407"/>
      <c r="X318" s="16"/>
      <c r="Y318" s="16"/>
    </row>
    <row r="319" spans="2:25" s="118" customFormat="1" ht="15">
      <c r="B319" s="841"/>
      <c r="C319" s="1138"/>
      <c r="D319" s="13"/>
      <c r="E319" s="1138"/>
      <c r="F319" s="1158" t="s">
        <v>844</v>
      </c>
      <c r="G319" s="1129"/>
      <c r="H319" s="1154"/>
      <c r="K319" s="14"/>
      <c r="L319" s="14"/>
      <c r="M319" s="14"/>
      <c r="O319" s="151"/>
      <c r="P319" s="151"/>
      <c r="Q319" s="529">
        <v>0</v>
      </c>
      <c r="R319" s="529">
        <v>0</v>
      </c>
      <c r="S319" s="407"/>
      <c r="T319" s="407"/>
      <c r="U319" s="407"/>
      <c r="X319" s="16"/>
      <c r="Y319" s="16"/>
    </row>
    <row r="320" spans="2:25" s="118" customFormat="1" ht="15">
      <c r="B320" s="841"/>
      <c r="C320" s="1138"/>
      <c r="D320" s="13"/>
      <c r="E320" s="1138"/>
      <c r="F320" s="1158"/>
      <c r="G320" s="1129"/>
      <c r="H320" s="1154"/>
      <c r="K320" s="14"/>
      <c r="L320" s="14"/>
      <c r="M320" s="14"/>
      <c r="O320" s="151"/>
      <c r="P320" s="151"/>
      <c r="Q320" s="529">
        <v>0</v>
      </c>
      <c r="R320" s="529">
        <v>0</v>
      </c>
      <c r="S320" s="407"/>
      <c r="T320" s="407"/>
      <c r="U320" s="407"/>
      <c r="X320" s="16"/>
      <c r="Y320" s="16"/>
    </row>
    <row r="321" spans="1:25" s="118" customFormat="1" ht="30">
      <c r="B321" s="841"/>
      <c r="C321" s="1138"/>
      <c r="D321" s="13"/>
      <c r="E321" s="1138"/>
      <c r="F321" s="1159" t="s">
        <v>845</v>
      </c>
      <c r="G321" s="1129"/>
      <c r="H321" s="1154"/>
      <c r="K321" s="14"/>
      <c r="L321" s="14"/>
      <c r="M321" s="14"/>
      <c r="O321" s="151"/>
      <c r="P321" s="151"/>
      <c r="Q321" s="529">
        <v>0</v>
      </c>
      <c r="R321" s="529">
        <v>0</v>
      </c>
      <c r="S321" s="407"/>
      <c r="T321" s="407"/>
      <c r="U321" s="407"/>
      <c r="X321" s="16"/>
      <c r="Y321" s="16"/>
    </row>
    <row r="322" spans="1:25" s="118" customFormat="1" ht="30">
      <c r="B322" s="841"/>
      <c r="C322" s="1138"/>
      <c r="D322" s="13"/>
      <c r="E322" s="1138"/>
      <c r="F322" s="1158" t="s">
        <v>846</v>
      </c>
      <c r="G322" s="1129"/>
      <c r="H322" s="1154"/>
      <c r="K322" s="14"/>
      <c r="L322" s="14"/>
      <c r="M322" s="14"/>
      <c r="O322" s="151"/>
      <c r="P322" s="151"/>
      <c r="Q322" s="529">
        <v>0</v>
      </c>
      <c r="R322" s="529">
        <v>0</v>
      </c>
      <c r="S322" s="407"/>
      <c r="T322" s="407"/>
      <c r="U322" s="407"/>
      <c r="X322" s="16"/>
      <c r="Y322" s="16"/>
    </row>
    <row r="323" spans="1:25" s="118" customFormat="1" ht="15">
      <c r="B323" s="841"/>
      <c r="C323" s="1138"/>
      <c r="D323" s="13"/>
      <c r="E323" s="1138"/>
      <c r="F323" s="1158" t="s">
        <v>847</v>
      </c>
      <c r="G323" s="1129"/>
      <c r="H323" s="1154"/>
      <c r="K323" s="14"/>
      <c r="L323" s="14"/>
      <c r="M323" s="14"/>
      <c r="O323" s="151"/>
      <c r="P323" s="151"/>
      <c r="Q323" s="529">
        <v>0</v>
      </c>
      <c r="R323" s="529">
        <v>0</v>
      </c>
      <c r="S323" s="407"/>
      <c r="T323" s="407"/>
      <c r="U323" s="407"/>
      <c r="X323" s="16"/>
      <c r="Y323" s="16"/>
    </row>
    <row r="324" spans="1:25" s="118" customFormat="1" ht="30">
      <c r="B324" s="841"/>
      <c r="C324" s="1138"/>
      <c r="D324" s="13"/>
      <c r="E324" s="1138"/>
      <c r="F324" s="1158" t="s">
        <v>848</v>
      </c>
      <c r="G324" s="1129"/>
      <c r="H324" s="1154"/>
      <c r="K324" s="14"/>
      <c r="L324" s="14"/>
      <c r="M324" s="14"/>
      <c r="O324" s="151"/>
      <c r="P324" s="151"/>
      <c r="Q324" s="529">
        <v>0</v>
      </c>
      <c r="R324" s="529">
        <v>0</v>
      </c>
      <c r="S324" s="407"/>
      <c r="T324" s="407"/>
      <c r="U324" s="407"/>
      <c r="X324" s="16"/>
      <c r="Y324" s="16"/>
    </row>
    <row r="325" spans="1:25" s="118" customFormat="1" ht="45">
      <c r="B325" s="841"/>
      <c r="C325" s="1138"/>
      <c r="D325" s="13"/>
      <c r="E325" s="1138"/>
      <c r="F325" s="1157" t="s">
        <v>849</v>
      </c>
      <c r="G325" s="1129"/>
      <c r="H325" s="1154"/>
      <c r="K325" s="14"/>
      <c r="L325" s="14"/>
      <c r="M325" s="14"/>
      <c r="O325" s="151"/>
      <c r="P325" s="151"/>
      <c r="Q325" s="529">
        <v>0</v>
      </c>
      <c r="R325" s="529">
        <v>0</v>
      </c>
      <c r="S325" s="407"/>
      <c r="T325" s="407"/>
      <c r="U325" s="407"/>
      <c r="X325" s="16"/>
      <c r="Y325" s="16"/>
    </row>
    <row r="326" spans="1:25" s="118" customFormat="1" ht="15">
      <c r="B326" s="841"/>
      <c r="C326" s="1138"/>
      <c r="D326" s="13"/>
      <c r="E326" s="1138"/>
      <c r="F326" s="1158"/>
      <c r="G326" s="1129"/>
      <c r="H326" s="1154"/>
      <c r="K326" s="14"/>
      <c r="L326" s="14"/>
      <c r="M326" s="14"/>
      <c r="O326" s="151"/>
      <c r="P326" s="151"/>
      <c r="Q326" s="529">
        <v>0</v>
      </c>
      <c r="R326" s="529">
        <v>0</v>
      </c>
      <c r="S326" s="407"/>
      <c r="T326" s="407"/>
      <c r="U326" s="407"/>
      <c r="X326" s="16"/>
      <c r="Y326" s="16"/>
    </row>
    <row r="327" spans="1:25" s="118" customFormat="1" ht="15">
      <c r="B327" s="841"/>
      <c r="C327" s="1138"/>
      <c r="D327" s="13"/>
      <c r="E327" s="1138"/>
      <c r="F327" s="1159" t="s">
        <v>850</v>
      </c>
      <c r="G327" s="1129"/>
      <c r="H327" s="1154"/>
      <c r="K327" s="14"/>
      <c r="L327" s="14"/>
      <c r="M327" s="14"/>
      <c r="O327" s="151"/>
      <c r="P327" s="151"/>
      <c r="Q327" s="529">
        <v>0</v>
      </c>
      <c r="R327" s="529">
        <v>0</v>
      </c>
      <c r="S327" s="407"/>
      <c r="T327" s="407"/>
      <c r="U327" s="407"/>
      <c r="X327" s="16"/>
      <c r="Y327" s="16"/>
    </row>
    <row r="328" spans="1:25" s="118" customFormat="1" ht="15">
      <c r="B328" s="841"/>
      <c r="C328" s="1138"/>
      <c r="D328" s="13"/>
      <c r="E328" s="1138"/>
      <c r="F328" s="1158" t="s">
        <v>850</v>
      </c>
      <c r="G328" s="1129"/>
      <c r="H328" s="1154"/>
      <c r="K328" s="14"/>
      <c r="L328" s="14"/>
      <c r="M328" s="14"/>
      <c r="O328" s="151"/>
      <c r="P328" s="151"/>
      <c r="Q328" s="529">
        <v>0</v>
      </c>
      <c r="R328" s="529">
        <v>0</v>
      </c>
      <c r="S328" s="407"/>
      <c r="T328" s="407"/>
      <c r="U328" s="407"/>
      <c r="X328" s="16"/>
      <c r="Y328" s="16"/>
    </row>
    <row r="329" spans="1:25" s="118" customFormat="1" ht="15">
      <c r="B329" s="841"/>
      <c r="C329" s="1138"/>
      <c r="D329" s="13"/>
      <c r="E329" s="1138"/>
      <c r="F329" s="1129"/>
      <c r="G329" s="1129"/>
      <c r="H329" s="1154"/>
      <c r="K329" s="14"/>
      <c r="L329" s="14"/>
      <c r="M329" s="14"/>
      <c r="O329" s="151"/>
      <c r="P329" s="151"/>
      <c r="Q329" s="529"/>
      <c r="R329" s="886"/>
      <c r="S329" s="407"/>
      <c r="T329" s="407"/>
      <c r="U329" s="407"/>
      <c r="X329" s="16"/>
      <c r="Y329" s="16"/>
    </row>
    <row r="330" spans="1:25" s="477" customFormat="1" ht="15">
      <c r="B330" s="1125" t="s">
        <v>140</v>
      </c>
      <c r="C330" s="1140"/>
      <c r="D330" s="94"/>
      <c r="E330" s="1138"/>
      <c r="F330" s="416"/>
      <c r="G330" s="416"/>
      <c r="H330" s="529"/>
      <c r="I330" s="1155">
        <v>1100000</v>
      </c>
      <c r="J330" s="887">
        <f>SUM(J332:J333)</f>
        <v>0</v>
      </c>
      <c r="K330" s="887">
        <f t="shared" ref="K330:M330" si="62">SUM(K332:K333)</f>
        <v>1100000</v>
      </c>
      <c r="L330" s="887">
        <f t="shared" si="62"/>
        <v>0</v>
      </c>
      <c r="M330" s="887">
        <f t="shared" si="62"/>
        <v>1100000</v>
      </c>
      <c r="N330" s="886"/>
      <c r="O330" s="816"/>
      <c r="P330" s="727"/>
      <c r="Q330" s="887">
        <f t="shared" ref="Q330:R330" si="63">SUM(Q332:Q333)</f>
        <v>1099991.1800000002</v>
      </c>
      <c r="R330" s="887">
        <f t="shared" si="63"/>
        <v>1061006</v>
      </c>
      <c r="S330" s="873"/>
      <c r="T330" s="873"/>
      <c r="U330" s="873"/>
      <c r="V330" s="727"/>
      <c r="W330" s="727"/>
      <c r="X330" s="16">
        <f t="shared" si="60"/>
        <v>1100000</v>
      </c>
      <c r="Y330" s="16">
        <f t="shared" ref="Y330:Y336" si="64">X330-M330</f>
        <v>0</v>
      </c>
    </row>
    <row r="331" spans="1:25" s="31" customFormat="1" ht="15">
      <c r="B331" s="1162" t="s">
        <v>224</v>
      </c>
      <c r="C331" s="727"/>
      <c r="D331" s="1163"/>
      <c r="E331" s="32"/>
      <c r="F331" s="393"/>
      <c r="G331" s="477"/>
      <c r="H331" s="508">
        <v>700000</v>
      </c>
      <c r="I331" s="508"/>
      <c r="J331" s="477"/>
      <c r="K331" s="477"/>
      <c r="L331" s="477"/>
      <c r="M331" s="477"/>
      <c r="N331" s="475">
        <f>M330+H331</f>
        <v>1800000</v>
      </c>
      <c r="O331" s="1140"/>
      <c r="Q331" s="216"/>
      <c r="R331" s="216"/>
      <c r="S331" s="403"/>
      <c r="T331" s="403"/>
      <c r="U331" s="403"/>
      <c r="V331" s="32" t="s">
        <v>517</v>
      </c>
      <c r="X331" s="16">
        <f t="shared" si="60"/>
        <v>0</v>
      </c>
      <c r="Y331" s="16">
        <f t="shared" si="64"/>
        <v>0</v>
      </c>
    </row>
    <row r="332" spans="1:25" s="31" customFormat="1" ht="30">
      <c r="A332" s="1347" t="s">
        <v>4608</v>
      </c>
      <c r="B332" s="842" t="s">
        <v>853</v>
      </c>
      <c r="C332" s="1137" t="s">
        <v>854</v>
      </c>
      <c r="D332" s="13">
        <v>40834</v>
      </c>
      <c r="E332" s="1138" t="s">
        <v>851</v>
      </c>
      <c r="F332" s="12" t="s">
        <v>5008</v>
      </c>
      <c r="G332" s="14"/>
      <c r="H332" s="268"/>
      <c r="I332" s="268"/>
      <c r="J332" s="14"/>
      <c r="K332" s="14">
        <v>600000</v>
      </c>
      <c r="L332" s="14"/>
      <c r="M332" s="14">
        <f>SUM(J332:L332)</f>
        <v>600000</v>
      </c>
      <c r="N332" s="187"/>
      <c r="O332" s="1140"/>
      <c r="P332" s="32" t="s">
        <v>102</v>
      </c>
      <c r="Q332" s="216">
        <v>599994.18000000005</v>
      </c>
      <c r="R332" s="216">
        <v>584532</v>
      </c>
      <c r="S332" s="1335" t="s">
        <v>6107</v>
      </c>
      <c r="T332" s="1335"/>
      <c r="U332" s="1335"/>
      <c r="V332" s="32" t="s">
        <v>517</v>
      </c>
      <c r="W332" s="31" t="s">
        <v>852</v>
      </c>
      <c r="X332" s="16">
        <f t="shared" si="60"/>
        <v>600000</v>
      </c>
      <c r="Y332" s="16">
        <f t="shared" si="64"/>
        <v>0</v>
      </c>
    </row>
    <row r="333" spans="1:25" s="31" customFormat="1" ht="30">
      <c r="A333" s="1347"/>
      <c r="B333" s="842" t="s">
        <v>855</v>
      </c>
      <c r="C333" s="1137" t="s">
        <v>856</v>
      </c>
      <c r="D333" s="13">
        <v>40834</v>
      </c>
      <c r="E333" s="1138" t="s">
        <v>851</v>
      </c>
      <c r="F333" s="12" t="s">
        <v>5008</v>
      </c>
      <c r="G333" s="14"/>
      <c r="H333" s="268"/>
      <c r="I333" s="268"/>
      <c r="J333" s="14"/>
      <c r="K333" s="14">
        <v>500000</v>
      </c>
      <c r="L333" s="14"/>
      <c r="M333" s="14">
        <f>SUM(J333:L333)</f>
        <v>500000</v>
      </c>
      <c r="N333" s="187"/>
      <c r="O333" s="1140"/>
      <c r="P333" s="32" t="s">
        <v>102</v>
      </c>
      <c r="Q333" s="216">
        <v>499997</v>
      </c>
      <c r="R333" s="216">
        <v>476474</v>
      </c>
      <c r="S333" s="1335" t="s">
        <v>6108</v>
      </c>
      <c r="T333" s="1335"/>
      <c r="U333" s="1335"/>
      <c r="V333" s="32"/>
      <c r="W333" s="31" t="s">
        <v>852</v>
      </c>
      <c r="X333" s="16">
        <f t="shared" si="60"/>
        <v>500000</v>
      </c>
      <c r="Y333" s="16">
        <f t="shared" si="64"/>
        <v>0</v>
      </c>
    </row>
    <row r="334" spans="1:25" s="477" customFormat="1" ht="15">
      <c r="B334" s="842"/>
      <c r="C334" s="1137"/>
      <c r="D334" s="13"/>
      <c r="E334" s="1138"/>
      <c r="F334" s="12"/>
      <c r="G334" s="14"/>
      <c r="H334" s="268"/>
      <c r="I334" s="268"/>
      <c r="J334" s="14"/>
      <c r="K334" s="14"/>
      <c r="L334" s="14"/>
      <c r="M334" s="14"/>
      <c r="N334" s="187"/>
      <c r="O334" s="1140"/>
      <c r="P334" s="727"/>
      <c r="Q334" s="216"/>
      <c r="R334" s="216"/>
      <c r="S334" s="403"/>
      <c r="T334" s="403"/>
      <c r="U334" s="403"/>
      <c r="V334" s="727"/>
      <c r="X334" s="16">
        <f t="shared" si="60"/>
        <v>0</v>
      </c>
      <c r="Y334" s="16">
        <f t="shared" si="64"/>
        <v>0</v>
      </c>
    </row>
    <row r="335" spans="1:25" s="39" customFormat="1" ht="15.95" customHeight="1">
      <c r="B335" s="1125" t="s">
        <v>38</v>
      </c>
      <c r="C335" s="1140"/>
      <c r="D335" s="94"/>
      <c r="E335" s="1138"/>
      <c r="F335" s="393"/>
      <c r="G335" s="187"/>
      <c r="H335" s="405"/>
      <c r="I335" s="406">
        <v>250000</v>
      </c>
      <c r="J335" s="384">
        <f>J336</f>
        <v>0</v>
      </c>
      <c r="K335" s="384">
        <f t="shared" ref="K335:L335" si="65">K336</f>
        <v>250000</v>
      </c>
      <c r="L335" s="384">
        <f t="shared" si="65"/>
        <v>0</v>
      </c>
      <c r="M335" s="384">
        <f>SUM(M336:M337)</f>
        <v>250000</v>
      </c>
      <c r="N335" s="187"/>
      <c r="O335" s="1137"/>
      <c r="P335" s="32" t="s">
        <v>102</v>
      </c>
      <c r="Q335" s="384">
        <f t="shared" ref="Q335:R335" si="66">SUM(Q336:Q337)</f>
        <v>240192</v>
      </c>
      <c r="R335" s="384">
        <f t="shared" si="66"/>
        <v>240192</v>
      </c>
      <c r="S335" s="403"/>
      <c r="T335" s="403"/>
      <c r="U335" s="403"/>
      <c r="V335" s="1137" t="s">
        <v>517</v>
      </c>
      <c r="X335" s="16">
        <f t="shared" si="60"/>
        <v>250000</v>
      </c>
      <c r="Y335" s="16">
        <f t="shared" si="64"/>
        <v>0</v>
      </c>
    </row>
    <row r="336" spans="1:25" s="39" customFormat="1" ht="75">
      <c r="A336" s="1139" t="s">
        <v>4609</v>
      </c>
      <c r="B336" s="844" t="s">
        <v>858</v>
      </c>
      <c r="C336" s="1137" t="s">
        <v>859</v>
      </c>
      <c r="D336" s="26">
        <v>40830</v>
      </c>
      <c r="E336" s="1137" t="s">
        <v>5010</v>
      </c>
      <c r="F336" s="12" t="s">
        <v>5009</v>
      </c>
      <c r="G336" s="14"/>
      <c r="H336" s="67">
        <v>500000</v>
      </c>
      <c r="I336" s="67"/>
      <c r="J336" s="14"/>
      <c r="K336" s="14">
        <v>250000</v>
      </c>
      <c r="L336" s="14"/>
      <c r="M336" s="14">
        <f>SUM(K336:L336)</f>
        <v>250000</v>
      </c>
      <c r="N336" s="14">
        <f>M336+H336</f>
        <v>750000</v>
      </c>
      <c r="O336" s="1137"/>
      <c r="P336" s="1137"/>
      <c r="Q336" s="216"/>
      <c r="R336" s="216"/>
      <c r="S336" s="403"/>
      <c r="T336" s="403"/>
      <c r="U336" s="403"/>
      <c r="V336" s="1137"/>
      <c r="W336" s="14" t="s">
        <v>857</v>
      </c>
      <c r="X336" s="16">
        <f t="shared" si="60"/>
        <v>250000</v>
      </c>
      <c r="Y336" s="16">
        <f t="shared" si="64"/>
        <v>0</v>
      </c>
    </row>
    <row r="337" spans="1:25" s="39" customFormat="1" ht="60">
      <c r="A337" s="1139"/>
      <c r="B337" s="842" t="s">
        <v>4803</v>
      </c>
      <c r="C337" s="1137" t="s">
        <v>4802</v>
      </c>
      <c r="D337" s="26">
        <v>40868</v>
      </c>
      <c r="E337" s="1137" t="s">
        <v>5011</v>
      </c>
      <c r="F337" s="12" t="s">
        <v>5796</v>
      </c>
      <c r="G337" s="14"/>
      <c r="H337" s="67"/>
      <c r="I337" s="67"/>
      <c r="J337" s="14"/>
      <c r="K337" s="14"/>
      <c r="L337" s="14"/>
      <c r="M337" s="14">
        <f>-250000+250000</f>
        <v>0</v>
      </c>
      <c r="N337" s="14"/>
      <c r="O337" s="1137"/>
      <c r="P337" s="1137"/>
      <c r="Q337" s="216">
        <v>240192</v>
      </c>
      <c r="R337" s="216">
        <v>240192</v>
      </c>
      <c r="S337" s="1335" t="s">
        <v>6171</v>
      </c>
      <c r="T337" s="1335"/>
      <c r="U337" s="1335"/>
      <c r="V337" s="1137"/>
      <c r="W337" s="14" t="s">
        <v>37</v>
      </c>
      <c r="X337" s="16"/>
      <c r="Y337" s="16"/>
    </row>
    <row r="338" spans="1:25" s="39" customFormat="1" ht="15.95" customHeight="1">
      <c r="A338" s="1139"/>
      <c r="B338" s="844"/>
      <c r="C338" s="1137"/>
      <c r="D338" s="26"/>
      <c r="E338" s="1137"/>
      <c r="F338" s="12"/>
      <c r="G338" s="14"/>
      <c r="H338" s="67"/>
      <c r="I338" s="67"/>
      <c r="J338" s="14"/>
      <c r="K338" s="14"/>
      <c r="L338" s="14"/>
      <c r="M338" s="14"/>
      <c r="N338" s="14"/>
      <c r="O338" s="1137"/>
      <c r="P338" s="1137"/>
      <c r="Q338" s="216"/>
      <c r="R338" s="216"/>
      <c r="S338" s="403"/>
      <c r="T338" s="403"/>
      <c r="U338" s="403"/>
      <c r="V338" s="1137"/>
      <c r="W338" s="14"/>
      <c r="X338" s="16"/>
      <c r="Y338" s="16"/>
    </row>
    <row r="339" spans="1:25" s="739" customFormat="1" ht="15.95" customHeight="1">
      <c r="A339" s="1139"/>
      <c r="B339" s="844"/>
      <c r="C339" s="1137"/>
      <c r="D339" s="26"/>
      <c r="E339" s="1137"/>
      <c r="F339" s="12"/>
      <c r="G339" s="14"/>
      <c r="H339" s="67"/>
      <c r="I339" s="67"/>
      <c r="J339" s="14"/>
      <c r="K339" s="14"/>
      <c r="L339" s="14"/>
      <c r="M339" s="14"/>
      <c r="N339" s="14"/>
      <c r="O339" s="1140"/>
      <c r="P339" s="1140"/>
      <c r="Q339" s="216"/>
      <c r="R339" s="216"/>
      <c r="S339" s="403"/>
      <c r="T339" s="403"/>
      <c r="U339" s="403"/>
      <c r="V339" s="1140"/>
      <c r="W339" s="187"/>
      <c r="X339" s="16">
        <f t="shared" si="60"/>
        <v>0</v>
      </c>
      <c r="Y339" s="16">
        <f t="shared" ref="Y339:Y353" si="67">X339-M339</f>
        <v>0</v>
      </c>
    </row>
    <row r="340" spans="1:25" s="739" customFormat="1" ht="15.95" customHeight="1">
      <c r="A340" s="1139" t="s">
        <v>4610</v>
      </c>
      <c r="B340" s="1125" t="s">
        <v>860</v>
      </c>
      <c r="C340" s="1140"/>
      <c r="D340" s="5"/>
      <c r="E340" s="1137"/>
      <c r="F340" s="393"/>
      <c r="G340" s="187"/>
      <c r="H340" s="93"/>
      <c r="I340" s="417">
        <v>8592000</v>
      </c>
      <c r="J340" s="384">
        <f>J341+J358+J363+J383+J385+J388+J394+J396+J407+J409</f>
        <v>0</v>
      </c>
      <c r="K340" s="384">
        <f>K341+K358+K363+K383+K385+K388+K394+K396+K409+K407</f>
        <v>3315308.497</v>
      </c>
      <c r="L340" s="384">
        <f>L341+L358+L363+L383+L385+L388+L394+L396+L409+L407</f>
        <v>5025059.2019999996</v>
      </c>
      <c r="M340" s="384">
        <f>M341+M358+M363+M383+M385+M388+M394+M396+M407+M409+M355</f>
        <v>8389953.699000001</v>
      </c>
      <c r="N340" s="187"/>
      <c r="O340" s="1140"/>
      <c r="P340" s="1140"/>
      <c r="Q340" s="384">
        <f>Q341+Q358+Q363+Q383+Q385+Q388+Q394+Q396+Q407+Q409+Q355</f>
        <v>7107146</v>
      </c>
      <c r="R340" s="384">
        <f>R341+R358+R363+R383+R385+R388+R394+R396+R407+R409+R355</f>
        <v>5038391</v>
      </c>
      <c r="S340" s="403"/>
      <c r="T340" s="403"/>
      <c r="U340" s="403"/>
      <c r="V340" s="1140"/>
      <c r="W340" s="187"/>
      <c r="X340" s="16">
        <f t="shared" si="60"/>
        <v>8340367.6989999991</v>
      </c>
      <c r="Y340" s="16">
        <f t="shared" si="67"/>
        <v>-49586.000000001863</v>
      </c>
    </row>
    <row r="341" spans="1:25" s="739" customFormat="1" ht="15.95" customHeight="1">
      <c r="B341" s="829" t="s">
        <v>31</v>
      </c>
      <c r="C341" s="1140"/>
      <c r="D341" s="5"/>
      <c r="E341" s="1137"/>
      <c r="F341" s="393"/>
      <c r="G341" s="187"/>
      <c r="H341" s="93"/>
      <c r="I341" s="93"/>
      <c r="J341" s="110">
        <f>J342+J352</f>
        <v>0</v>
      </c>
      <c r="K341" s="110">
        <f>K342+K352</f>
        <v>216999.52</v>
      </c>
      <c r="L341" s="110">
        <f>L342+L352</f>
        <v>843000</v>
      </c>
      <c r="M341" s="110">
        <f>M342+M352</f>
        <v>1059999.52</v>
      </c>
      <c r="N341" s="187"/>
      <c r="O341" s="1140"/>
      <c r="P341" s="1140"/>
      <c r="Q341" s="110">
        <f>Q342+Q352</f>
        <v>1060000</v>
      </c>
      <c r="R341" s="110">
        <f>R342+R352</f>
        <v>469000</v>
      </c>
      <c r="S341" s="403"/>
      <c r="T341" s="403"/>
      <c r="U341" s="403"/>
      <c r="V341" s="1140"/>
      <c r="W341" s="187"/>
      <c r="X341" s="16">
        <f t="shared" si="60"/>
        <v>1059999.52</v>
      </c>
      <c r="Y341" s="16">
        <f t="shared" si="67"/>
        <v>0</v>
      </c>
    </row>
    <row r="342" spans="1:25" s="16" customFormat="1" ht="15">
      <c r="A342" s="236"/>
      <c r="B342" s="829" t="s">
        <v>11</v>
      </c>
      <c r="C342" s="1140"/>
      <c r="D342" s="5"/>
      <c r="E342" s="1137"/>
      <c r="F342" s="393"/>
      <c r="G342" s="187"/>
      <c r="H342" s="93"/>
      <c r="I342" s="93"/>
      <c r="J342" s="418">
        <f>SUM(J343:J350)</f>
        <v>0</v>
      </c>
      <c r="K342" s="418">
        <f>SUM(K343:K350)</f>
        <v>33755</v>
      </c>
      <c r="L342" s="418">
        <f>SUM(L343:L350)</f>
        <v>843000</v>
      </c>
      <c r="M342" s="100">
        <f>SUM(M343:M350)</f>
        <v>876755</v>
      </c>
      <c r="N342" s="187"/>
      <c r="O342" s="775"/>
      <c r="P342" s="179"/>
      <c r="Q342" s="100">
        <f>SUM(Q343:Q350)</f>
        <v>876755</v>
      </c>
      <c r="R342" s="100">
        <f>SUM(R343:R350)</f>
        <v>285755</v>
      </c>
      <c r="S342" s="926"/>
      <c r="T342" s="926"/>
      <c r="U342" s="926"/>
      <c r="X342" s="16">
        <f t="shared" si="60"/>
        <v>876755</v>
      </c>
      <c r="Y342" s="16">
        <f t="shared" si="67"/>
        <v>0</v>
      </c>
    </row>
    <row r="343" spans="1:25" s="16" customFormat="1" ht="15">
      <c r="A343" s="236"/>
      <c r="B343" s="1101" t="s">
        <v>861</v>
      </c>
      <c r="C343" s="179"/>
      <c r="D343" s="379"/>
      <c r="E343" s="182"/>
      <c r="F343" s="12"/>
      <c r="H343" s="401"/>
      <c r="I343" s="401"/>
      <c r="N343" s="401"/>
      <c r="O343" s="321"/>
      <c r="P343" s="32"/>
      <c r="Q343" s="243"/>
      <c r="R343" s="243"/>
      <c r="S343" s="929"/>
      <c r="T343" s="929"/>
      <c r="U343" s="929"/>
      <c r="V343" s="1137" t="s">
        <v>517</v>
      </c>
      <c r="W343" s="12"/>
      <c r="X343" s="16">
        <f t="shared" si="60"/>
        <v>0</v>
      </c>
      <c r="Y343" s="16">
        <f t="shared" si="67"/>
        <v>0</v>
      </c>
    </row>
    <row r="344" spans="1:25" s="16" customFormat="1" ht="30">
      <c r="A344" s="236"/>
      <c r="B344" s="263" t="s">
        <v>863</v>
      </c>
      <c r="C344" s="182" t="s">
        <v>864</v>
      </c>
      <c r="D344" s="419">
        <v>41192</v>
      </c>
      <c r="E344" s="182"/>
      <c r="F344" s="12"/>
      <c r="H344" s="203"/>
      <c r="I344" s="203"/>
      <c r="N344" s="211"/>
      <c r="O344" s="321"/>
      <c r="P344" s="32"/>
      <c r="Q344" s="243">
        <v>326755</v>
      </c>
      <c r="R344" s="243">
        <f>142000+143755</f>
        <v>285755</v>
      </c>
      <c r="S344" s="929"/>
      <c r="T344" s="929"/>
      <c r="U344" s="929"/>
      <c r="V344" s="1137" t="s">
        <v>517</v>
      </c>
      <c r="X344" s="16">
        <f t="shared" si="60"/>
        <v>0</v>
      </c>
      <c r="Y344" s="16">
        <f t="shared" si="67"/>
        <v>0</v>
      </c>
    </row>
    <row r="345" spans="1:25" s="16" customFormat="1" ht="51.75" customHeight="1">
      <c r="A345" s="236"/>
      <c r="B345" s="263" t="s">
        <v>865</v>
      </c>
      <c r="C345" s="182"/>
      <c r="D345" s="419"/>
      <c r="E345" s="182" t="s">
        <v>5013</v>
      </c>
      <c r="F345" s="72" t="s">
        <v>5012</v>
      </c>
      <c r="H345" s="203"/>
      <c r="I345" s="203"/>
      <c r="J345" s="183"/>
      <c r="K345" s="203">
        <v>5755</v>
      </c>
      <c r="L345" s="203"/>
      <c r="M345" s="203">
        <f>SUM(J345:L345)</f>
        <v>5755</v>
      </c>
      <c r="N345" s="203"/>
      <c r="O345" s="321"/>
      <c r="P345" s="32" t="s">
        <v>102</v>
      </c>
      <c r="Q345" s="243"/>
      <c r="R345" s="243"/>
      <c r="S345" s="1334" t="s">
        <v>6129</v>
      </c>
      <c r="T345" s="1334"/>
      <c r="U345" s="1334"/>
      <c r="V345" s="1137" t="s">
        <v>517</v>
      </c>
      <c r="W345" s="12" t="s">
        <v>862</v>
      </c>
      <c r="X345" s="16">
        <f t="shared" si="60"/>
        <v>5755</v>
      </c>
      <c r="Y345" s="16">
        <f t="shared" si="67"/>
        <v>0</v>
      </c>
    </row>
    <row r="346" spans="1:25" s="16" customFormat="1" ht="34.5" customHeight="1">
      <c r="A346" s="236"/>
      <c r="B346" s="263" t="s">
        <v>6130</v>
      </c>
      <c r="C346" s="182"/>
      <c r="D346" s="419"/>
      <c r="E346" s="182" t="s">
        <v>5017</v>
      </c>
      <c r="F346" s="72" t="s">
        <v>5016</v>
      </c>
      <c r="H346" s="203"/>
      <c r="I346" s="203"/>
      <c r="J346" s="183"/>
      <c r="K346" s="203">
        <v>23000</v>
      </c>
      <c r="L346" s="203"/>
      <c r="M346" s="203">
        <v>5000</v>
      </c>
      <c r="N346" s="203"/>
      <c r="O346" s="321"/>
      <c r="P346" s="32" t="s">
        <v>102</v>
      </c>
      <c r="Q346" s="243"/>
      <c r="R346" s="243"/>
      <c r="S346" s="1334" t="s">
        <v>6132</v>
      </c>
      <c r="T346" s="1334"/>
      <c r="U346" s="1334"/>
      <c r="V346" s="1137" t="s">
        <v>517</v>
      </c>
      <c r="W346" s="12" t="s">
        <v>862</v>
      </c>
      <c r="X346" s="16">
        <f>SUM(J346:L346)</f>
        <v>23000</v>
      </c>
      <c r="Y346" s="16">
        <f>X346-M346</f>
        <v>18000</v>
      </c>
    </row>
    <row r="347" spans="1:25" s="16" customFormat="1" ht="30">
      <c r="A347" s="236"/>
      <c r="B347" s="263" t="s">
        <v>6131</v>
      </c>
      <c r="C347" s="182"/>
      <c r="D347" s="419"/>
      <c r="E347" s="182" t="s">
        <v>5015</v>
      </c>
      <c r="F347" s="72" t="s">
        <v>5014</v>
      </c>
      <c r="H347" s="203"/>
      <c r="I347" s="203"/>
      <c r="J347" s="183"/>
      <c r="K347" s="203">
        <v>5000</v>
      </c>
      <c r="L347" s="203"/>
      <c r="M347" s="203">
        <v>23000</v>
      </c>
      <c r="N347" s="203"/>
      <c r="O347" s="321"/>
      <c r="P347" s="32" t="s">
        <v>102</v>
      </c>
      <c r="Q347" s="243"/>
      <c r="R347" s="243"/>
      <c r="S347" s="929"/>
      <c r="T347" s="929"/>
      <c r="U347" s="929"/>
      <c r="V347" s="1137" t="s">
        <v>517</v>
      </c>
      <c r="W347" s="12" t="s">
        <v>862</v>
      </c>
      <c r="X347" s="16">
        <f t="shared" si="60"/>
        <v>5000</v>
      </c>
      <c r="Y347" s="16">
        <f t="shared" si="67"/>
        <v>-18000</v>
      </c>
    </row>
    <row r="348" spans="1:25" s="16" customFormat="1" ht="65.25" customHeight="1">
      <c r="A348" s="236"/>
      <c r="B348" s="263" t="s">
        <v>5819</v>
      </c>
      <c r="C348" s="182"/>
      <c r="D348" s="419"/>
      <c r="E348" s="182" t="s">
        <v>4980</v>
      </c>
      <c r="F348" s="72" t="s">
        <v>5018</v>
      </c>
      <c r="H348" s="203"/>
      <c r="I348" s="203"/>
      <c r="J348" s="183"/>
      <c r="K348" s="203"/>
      <c r="L348" s="203">
        <v>293000</v>
      </c>
      <c r="M348" s="203">
        <f t="shared" ref="M348" si="68">SUM(J348:L348)</f>
        <v>293000</v>
      </c>
      <c r="N348" s="203"/>
      <c r="O348" s="321"/>
      <c r="P348" s="1138"/>
      <c r="Q348" s="243"/>
      <c r="R348" s="243"/>
      <c r="S348" s="1334" t="s">
        <v>6137</v>
      </c>
      <c r="T348" s="1334"/>
      <c r="U348" s="1334"/>
      <c r="V348" s="1137"/>
      <c r="W348" s="12" t="s">
        <v>572</v>
      </c>
      <c r="X348" s="16">
        <f t="shared" si="60"/>
        <v>293000</v>
      </c>
      <c r="Y348" s="16">
        <f t="shared" si="67"/>
        <v>0</v>
      </c>
    </row>
    <row r="349" spans="1:25" s="16" customFormat="1" ht="15">
      <c r="A349" s="236"/>
      <c r="B349" s="263"/>
      <c r="C349" s="182"/>
      <c r="D349" s="419"/>
      <c r="E349" s="182"/>
      <c r="F349" s="72"/>
      <c r="H349" s="203"/>
      <c r="I349" s="203"/>
      <c r="J349" s="183"/>
      <c r="K349" s="203"/>
      <c r="L349" s="203"/>
      <c r="M349" s="203"/>
      <c r="N349" s="203"/>
      <c r="O349" s="1136"/>
      <c r="Q349" s="93"/>
      <c r="R349" s="93"/>
      <c r="S349" s="876"/>
      <c r="T349" s="876"/>
      <c r="U349" s="876"/>
      <c r="V349" s="1137" t="s">
        <v>517</v>
      </c>
      <c r="X349" s="16">
        <f t="shared" si="60"/>
        <v>0</v>
      </c>
      <c r="Y349" s="16">
        <f t="shared" si="67"/>
        <v>0</v>
      </c>
    </row>
    <row r="350" spans="1:25" s="16" customFormat="1" ht="60">
      <c r="A350" s="236"/>
      <c r="B350" s="845" t="s">
        <v>867</v>
      </c>
      <c r="C350" s="19" t="s">
        <v>29</v>
      </c>
      <c r="D350" s="29">
        <v>40899</v>
      </c>
      <c r="E350" s="781" t="s">
        <v>4980</v>
      </c>
      <c r="F350" s="390" t="s">
        <v>4981</v>
      </c>
      <c r="G350" s="28"/>
      <c r="H350" s="10"/>
      <c r="I350" s="10"/>
      <c r="J350" s="14"/>
      <c r="K350" s="14"/>
      <c r="L350" s="14">
        <v>550000</v>
      </c>
      <c r="M350" s="22">
        <f>SUM(J350:L350)</f>
        <v>550000</v>
      </c>
      <c r="N350" s="10"/>
      <c r="O350" s="1136"/>
      <c r="P350" s="32" t="s">
        <v>102</v>
      </c>
      <c r="Q350" s="93">
        <v>550000</v>
      </c>
      <c r="R350" s="93"/>
      <c r="S350" s="1343" t="s">
        <v>6155</v>
      </c>
      <c r="T350" s="1343"/>
      <c r="U350" s="1343"/>
      <c r="V350" s="1137"/>
      <c r="W350" s="12" t="s">
        <v>572</v>
      </c>
      <c r="X350" s="16">
        <f>SUM(J350:L350)</f>
        <v>550000</v>
      </c>
      <c r="Y350" s="16">
        <f t="shared" si="67"/>
        <v>0</v>
      </c>
    </row>
    <row r="351" spans="1:25" s="16" customFormat="1" ht="15">
      <c r="A351" s="236"/>
      <c r="B351" s="845"/>
      <c r="C351" s="19"/>
      <c r="D351" s="29"/>
      <c r="E351" s="781"/>
      <c r="F351" s="390"/>
      <c r="G351" s="28"/>
      <c r="H351" s="10"/>
      <c r="I351" s="10"/>
      <c r="J351" s="14"/>
      <c r="K351" s="14"/>
      <c r="L351" s="14"/>
      <c r="M351" s="22"/>
      <c r="N351" s="10"/>
      <c r="O351" s="321"/>
      <c r="P351" s="1138"/>
      <c r="Q351" s="243"/>
      <c r="R351" s="243"/>
      <c r="S351" s="929"/>
      <c r="T351" s="929"/>
      <c r="U351" s="929"/>
      <c r="V351" s="1137"/>
      <c r="W351" s="12"/>
      <c r="X351" s="16">
        <f t="shared" si="60"/>
        <v>0</v>
      </c>
      <c r="Y351" s="16">
        <f t="shared" si="67"/>
        <v>0</v>
      </c>
    </row>
    <row r="352" spans="1:25" s="16" customFormat="1" ht="15">
      <c r="A352" s="236"/>
      <c r="B352" s="312" t="s">
        <v>868</v>
      </c>
      <c r="C352" s="182"/>
      <c r="D352" s="419"/>
      <c r="E352" s="182"/>
      <c r="F352" s="72"/>
      <c r="H352" s="203"/>
      <c r="I352" s="203"/>
      <c r="J352" s="100">
        <f>J353</f>
        <v>0</v>
      </c>
      <c r="K352" s="100">
        <f t="shared" ref="K352:M352" si="69">K353</f>
        <v>183244.52</v>
      </c>
      <c r="L352" s="100">
        <f t="shared" si="69"/>
        <v>0</v>
      </c>
      <c r="M352" s="100">
        <f t="shared" si="69"/>
        <v>183244.52</v>
      </c>
      <c r="N352" s="203"/>
      <c r="O352" s="321"/>
      <c r="Q352" s="100">
        <f t="shared" ref="Q352:R352" si="70">Q353</f>
        <v>183245</v>
      </c>
      <c r="R352" s="100">
        <f t="shared" si="70"/>
        <v>183245</v>
      </c>
      <c r="S352" s="929"/>
      <c r="T352" s="929"/>
      <c r="U352" s="929"/>
      <c r="V352" s="1137" t="s">
        <v>517</v>
      </c>
      <c r="X352" s="16">
        <f t="shared" si="60"/>
        <v>183244.52</v>
      </c>
      <c r="Y352" s="16">
        <f t="shared" si="67"/>
        <v>0</v>
      </c>
    </row>
    <row r="353" spans="1:25" s="16" customFormat="1" ht="21" customHeight="1">
      <c r="A353" s="236"/>
      <c r="B353" s="841" t="s">
        <v>861</v>
      </c>
      <c r="C353" s="182" t="s">
        <v>870</v>
      </c>
      <c r="D353" s="419">
        <v>41192</v>
      </c>
      <c r="E353" s="1147" t="s">
        <v>2869</v>
      </c>
      <c r="F353" s="1147" t="s">
        <v>4978</v>
      </c>
      <c r="G353" s="1103"/>
      <c r="H353" s="203">
        <v>2712727</v>
      </c>
      <c r="I353" s="203"/>
      <c r="J353" s="183"/>
      <c r="K353" s="203">
        <v>183244.52</v>
      </c>
      <c r="L353" s="203"/>
      <c r="M353" s="203">
        <f>SUM(K353:L353)</f>
        <v>183244.52</v>
      </c>
      <c r="N353" s="203">
        <f>H353+M353</f>
        <v>2895971.52</v>
      </c>
      <c r="O353" s="321"/>
      <c r="P353" s="1137" t="s">
        <v>4471</v>
      </c>
      <c r="Q353" s="243">
        <v>183245</v>
      </c>
      <c r="R353" s="243">
        <v>183245</v>
      </c>
      <c r="S353" s="1334" t="s">
        <v>6138</v>
      </c>
      <c r="T353" s="1334"/>
      <c r="U353" s="1334"/>
      <c r="V353" s="1137"/>
      <c r="W353" s="31" t="s">
        <v>869</v>
      </c>
      <c r="X353" s="16">
        <f t="shared" si="60"/>
        <v>183244.52</v>
      </c>
      <c r="Y353" s="16">
        <f t="shared" si="67"/>
        <v>0</v>
      </c>
    </row>
    <row r="354" spans="1:25" s="16" customFormat="1" ht="15">
      <c r="A354" s="236"/>
      <c r="B354" s="841"/>
      <c r="C354" s="182"/>
      <c r="D354" s="419"/>
      <c r="E354" s="1138"/>
      <c r="F354" s="12"/>
      <c r="G354" s="1103"/>
      <c r="H354" s="203"/>
      <c r="I354" s="203"/>
      <c r="J354" s="183"/>
      <c r="K354" s="203"/>
      <c r="L354" s="203"/>
      <c r="M354" s="203"/>
      <c r="N354" s="203"/>
      <c r="O354" s="321"/>
      <c r="P354" s="32"/>
      <c r="Q354" s="243"/>
      <c r="R354" s="243"/>
      <c r="S354" s="929"/>
      <c r="T354" s="929"/>
      <c r="U354" s="929"/>
      <c r="V354" s="1137"/>
      <c r="W354" s="31"/>
    </row>
    <row r="355" spans="1:25" s="16" customFormat="1" ht="15">
      <c r="A355" s="236"/>
      <c r="B355" s="843" t="s">
        <v>1156</v>
      </c>
      <c r="C355" s="182"/>
      <c r="D355" s="419"/>
      <c r="E355" s="1138"/>
      <c r="F355" s="12"/>
      <c r="G355" s="1103"/>
      <c r="H355" s="203"/>
      <c r="I355" s="203"/>
      <c r="J355" s="183"/>
      <c r="K355" s="203"/>
      <c r="L355" s="203"/>
      <c r="M355" s="100">
        <f>M356</f>
        <v>49586</v>
      </c>
      <c r="N355" s="203"/>
      <c r="O355" s="321"/>
      <c r="P355" s="32"/>
      <c r="Q355" s="100">
        <f>Q356</f>
        <v>49400</v>
      </c>
      <c r="R355" s="100">
        <f>R356</f>
        <v>41069</v>
      </c>
      <c r="S355" s="929"/>
      <c r="T355" s="929"/>
      <c r="U355" s="929"/>
      <c r="V355" s="1137"/>
      <c r="W355" s="31"/>
    </row>
    <row r="356" spans="1:25" s="231" customFormat="1" ht="120" customHeight="1">
      <c r="A356" s="237"/>
      <c r="B356" s="846" t="s">
        <v>6576</v>
      </c>
      <c r="C356" s="1126" t="s">
        <v>1158</v>
      </c>
      <c r="D356" s="361">
        <v>40882</v>
      </c>
      <c r="E356" s="779" t="s">
        <v>5020</v>
      </c>
      <c r="F356" s="212" t="s">
        <v>5019</v>
      </c>
      <c r="G356" s="360"/>
      <c r="H356" s="10">
        <v>496534</v>
      </c>
      <c r="I356" s="10"/>
      <c r="J356" s="14"/>
      <c r="K356" s="14"/>
      <c r="L356" s="14">
        <v>49586</v>
      </c>
      <c r="M356" s="14">
        <f>SUM(J356:L356)</f>
        <v>49586</v>
      </c>
      <c r="N356" s="10">
        <f>H356+M356</f>
        <v>546120</v>
      </c>
      <c r="O356" s="1136"/>
      <c r="P356" s="1126"/>
      <c r="Q356" s="93">
        <v>49400</v>
      </c>
      <c r="R356" s="93">
        <v>41069</v>
      </c>
      <c r="S356" s="1343" t="s">
        <v>6333</v>
      </c>
      <c r="T356" s="1343"/>
      <c r="U356" s="1343"/>
      <c r="W356" s="360"/>
      <c r="X356" s="16">
        <f>SUM(J356:L356)</f>
        <v>49586</v>
      </c>
      <c r="Y356" s="16">
        <f t="shared" ref="Y356:Y387" si="71">X356-M356</f>
        <v>0</v>
      </c>
    </row>
    <row r="357" spans="1:25" s="9" customFormat="1" ht="15">
      <c r="A357" s="697"/>
      <c r="B357" s="841"/>
      <c r="C357" s="182"/>
      <c r="D357" s="419"/>
      <c r="E357" s="1138"/>
      <c r="F357" s="12"/>
      <c r="G357" s="1103"/>
      <c r="H357" s="203"/>
      <c r="I357" s="203"/>
      <c r="J357" s="183"/>
      <c r="K357" s="203"/>
      <c r="L357" s="203"/>
      <c r="M357" s="203"/>
      <c r="N357" s="203"/>
      <c r="O357" s="813"/>
      <c r="P357" s="727"/>
      <c r="Q357" s="243"/>
      <c r="R357" s="243"/>
      <c r="S357" s="929"/>
      <c r="T357" s="929"/>
      <c r="U357" s="929"/>
      <c r="V357" s="1140"/>
      <c r="W357" s="477"/>
      <c r="X357" s="16">
        <f t="shared" si="60"/>
        <v>0</v>
      </c>
      <c r="Y357" s="16">
        <f t="shared" si="71"/>
        <v>0</v>
      </c>
    </row>
    <row r="358" spans="1:25" s="31" customFormat="1" ht="15">
      <c r="B358" s="843" t="s">
        <v>139</v>
      </c>
      <c r="C358" s="421"/>
      <c r="D358" s="422"/>
      <c r="E358" s="1138"/>
      <c r="F358" s="393"/>
      <c r="G358" s="420"/>
      <c r="H358" s="201"/>
      <c r="I358" s="201"/>
      <c r="J358" s="423">
        <f>J360+J361</f>
        <v>0</v>
      </c>
      <c r="K358" s="423">
        <f>K360+K361</f>
        <v>0</v>
      </c>
      <c r="L358" s="423">
        <f>L360+L361</f>
        <v>756000</v>
      </c>
      <c r="M358" s="423">
        <f>M360+M361</f>
        <v>756000</v>
      </c>
      <c r="N358" s="201"/>
      <c r="O358" s="816"/>
      <c r="P358" s="32"/>
      <c r="Q358" s="423">
        <f t="shared" ref="Q358:R358" si="72">Q360+Q361</f>
        <v>0</v>
      </c>
      <c r="R358" s="423">
        <f t="shared" si="72"/>
        <v>0</v>
      </c>
      <c r="S358" s="873"/>
      <c r="T358" s="873"/>
      <c r="U358" s="873"/>
      <c r="V358" s="32"/>
      <c r="X358" s="16">
        <f t="shared" si="60"/>
        <v>756000</v>
      </c>
      <c r="Y358" s="16">
        <f t="shared" si="71"/>
        <v>0</v>
      </c>
    </row>
    <row r="359" spans="1:25" s="31" customFormat="1" ht="15">
      <c r="B359" s="312" t="s">
        <v>11</v>
      </c>
      <c r="C359" s="182"/>
      <c r="D359" s="419"/>
      <c r="E359" s="182"/>
      <c r="F359" s="72"/>
      <c r="G359" s="72"/>
      <c r="H359" s="356">
        <v>7143909</v>
      </c>
      <c r="I359" s="356"/>
      <c r="N359" s="475">
        <f>M358+H359</f>
        <v>7899909</v>
      </c>
      <c r="O359" s="32"/>
      <c r="Q359" s="356"/>
      <c r="R359" s="356"/>
      <c r="S359" s="407"/>
      <c r="T359" s="407"/>
      <c r="U359" s="407"/>
      <c r="V359" s="32" t="s">
        <v>871</v>
      </c>
      <c r="X359" s="16">
        <f t="shared" si="60"/>
        <v>0</v>
      </c>
      <c r="Y359" s="16">
        <f t="shared" si="71"/>
        <v>0</v>
      </c>
    </row>
    <row r="360" spans="1:25" s="31" customFormat="1" ht="30">
      <c r="B360" s="209" t="s">
        <v>873</v>
      </c>
      <c r="C360" s="1126" t="s">
        <v>874</v>
      </c>
      <c r="D360" s="361">
        <v>40876</v>
      </c>
      <c r="E360" s="1137" t="s">
        <v>5022</v>
      </c>
      <c r="F360" s="1129" t="s">
        <v>5021</v>
      </c>
      <c r="G360" s="424"/>
      <c r="H360" s="631"/>
      <c r="I360" s="631"/>
      <c r="J360" s="14"/>
      <c r="K360" s="14"/>
      <c r="L360" s="14">
        <v>437500</v>
      </c>
      <c r="M360" s="14">
        <f>SUM(J360:L360)</f>
        <v>437500</v>
      </c>
      <c r="O360" s="32"/>
      <c r="P360" s="32" t="s">
        <v>102</v>
      </c>
      <c r="Q360" s="356"/>
      <c r="R360" s="356"/>
      <c r="S360" s="407"/>
      <c r="T360" s="407"/>
      <c r="U360" s="407"/>
      <c r="V360" s="32" t="s">
        <v>198</v>
      </c>
      <c r="W360" s="31" t="s">
        <v>872</v>
      </c>
      <c r="X360" s="16">
        <f t="shared" si="60"/>
        <v>437500</v>
      </c>
      <c r="Y360" s="16">
        <f t="shared" si="71"/>
        <v>0</v>
      </c>
    </row>
    <row r="361" spans="1:25" s="31" customFormat="1" ht="45">
      <c r="B361" s="831" t="s">
        <v>5023</v>
      </c>
      <c r="C361" s="182" t="s">
        <v>876</v>
      </c>
      <c r="D361" s="419">
        <v>41040</v>
      </c>
      <c r="E361" s="182" t="s">
        <v>5022</v>
      </c>
      <c r="F361" s="267" t="s">
        <v>5021</v>
      </c>
      <c r="G361" s="767"/>
      <c r="H361" s="631"/>
      <c r="I361" s="631"/>
      <c r="K361" s="203"/>
      <c r="L361" s="203">
        <v>318500</v>
      </c>
      <c r="M361" s="203">
        <f>SUM(K361:L361)</f>
        <v>318500</v>
      </c>
      <c r="O361" s="32"/>
      <c r="P361" s="32" t="s">
        <v>102</v>
      </c>
      <c r="Q361" s="356"/>
      <c r="R361" s="356"/>
      <c r="S361" s="407"/>
      <c r="T361" s="407"/>
      <c r="U361" s="407"/>
      <c r="V361" s="32"/>
      <c r="W361" s="31" t="s">
        <v>875</v>
      </c>
      <c r="X361" s="16">
        <f t="shared" si="60"/>
        <v>318500</v>
      </c>
      <c r="Y361" s="16">
        <f t="shared" si="71"/>
        <v>0</v>
      </c>
    </row>
    <row r="362" spans="1:25" s="39" customFormat="1" ht="15.95" customHeight="1">
      <c r="B362" s="72"/>
      <c r="C362" s="182"/>
      <c r="D362" s="419"/>
      <c r="E362" s="182"/>
      <c r="F362" s="267"/>
      <c r="G362" s="767"/>
      <c r="H362" s="631"/>
      <c r="I362" s="631"/>
      <c r="J362" s="31"/>
      <c r="K362" s="203"/>
      <c r="L362" s="203"/>
      <c r="M362" s="203"/>
      <c r="N362" s="31"/>
      <c r="O362" s="117"/>
      <c r="P362" s="179"/>
      <c r="Q362" s="93"/>
      <c r="R362" s="93"/>
      <c r="S362" s="876"/>
      <c r="T362" s="876"/>
      <c r="U362" s="876"/>
      <c r="V362" s="179"/>
      <c r="W362" s="16"/>
      <c r="X362" s="16">
        <f t="shared" si="60"/>
        <v>0</v>
      </c>
      <c r="Y362" s="16">
        <f t="shared" si="71"/>
        <v>0</v>
      </c>
    </row>
    <row r="363" spans="1:25" s="39" customFormat="1" ht="15">
      <c r="B363" s="470" t="s">
        <v>38</v>
      </c>
      <c r="C363" s="1137"/>
      <c r="D363" s="5"/>
      <c r="E363" s="23"/>
      <c r="F363" s="12"/>
      <c r="G363" s="14"/>
      <c r="H363" s="6"/>
      <c r="I363" s="6"/>
      <c r="J363" s="7">
        <f>J364+J372+J376+J379</f>
        <v>0</v>
      </c>
      <c r="K363" s="7">
        <f t="shared" ref="K363:M363" si="73">K364+K372+K376+K379</f>
        <v>813000</v>
      </c>
      <c r="L363" s="7">
        <f t="shared" si="73"/>
        <v>462790.20199999999</v>
      </c>
      <c r="M363" s="7">
        <f t="shared" si="73"/>
        <v>1275790.202</v>
      </c>
      <c r="N363" s="7"/>
      <c r="O363" s="1137"/>
      <c r="P363" s="1137"/>
      <c r="Q363" s="7">
        <f t="shared" ref="Q363:R363" si="74">Q364+Q372+Q376+Q379</f>
        <v>984624</v>
      </c>
      <c r="R363" s="7">
        <f t="shared" si="74"/>
        <v>624282</v>
      </c>
      <c r="S363" s="403"/>
      <c r="T363" s="403"/>
      <c r="U363" s="403"/>
      <c r="V363" s="1137"/>
      <c r="W363" s="14"/>
      <c r="X363" s="16">
        <f t="shared" si="60"/>
        <v>1275790.202</v>
      </c>
      <c r="Y363" s="16">
        <f t="shared" si="71"/>
        <v>0</v>
      </c>
    </row>
    <row r="364" spans="1:25" s="39" customFormat="1" ht="15">
      <c r="B364" s="839" t="s">
        <v>11</v>
      </c>
      <c r="C364" s="1137"/>
      <c r="D364" s="26"/>
      <c r="E364" s="1137"/>
      <c r="F364" s="12"/>
      <c r="G364" s="14"/>
      <c r="H364" s="67"/>
      <c r="I364" s="67"/>
      <c r="J364" s="400">
        <f>J365+J370</f>
        <v>0</v>
      </c>
      <c r="K364" s="400">
        <f>K365+K370</f>
        <v>813000</v>
      </c>
      <c r="L364" s="400">
        <f t="shared" ref="L364:M364" si="75">L365+L370</f>
        <v>0</v>
      </c>
      <c r="M364" s="400">
        <f t="shared" si="75"/>
        <v>813000</v>
      </c>
      <c r="N364" s="14"/>
      <c r="O364" s="1136"/>
      <c r="P364" s="1137"/>
      <c r="Q364" s="400">
        <f t="shared" ref="Q364:R364" si="76">Q365+Q370</f>
        <v>531389</v>
      </c>
      <c r="R364" s="400">
        <f t="shared" si="76"/>
        <v>380473</v>
      </c>
      <c r="S364" s="876"/>
      <c r="T364" s="876"/>
      <c r="U364" s="876"/>
      <c r="V364" s="1137"/>
      <c r="W364" s="14"/>
      <c r="X364" s="16">
        <f t="shared" si="60"/>
        <v>813000</v>
      </c>
      <c r="Y364" s="16">
        <f t="shared" si="71"/>
        <v>0</v>
      </c>
    </row>
    <row r="365" spans="1:25" s="39" customFormat="1" ht="15">
      <c r="B365" s="10" t="s">
        <v>877</v>
      </c>
      <c r="C365" s="180" t="s">
        <v>878</v>
      </c>
      <c r="D365" s="26">
        <v>40868</v>
      </c>
      <c r="E365" s="1137"/>
      <c r="F365" s="12"/>
      <c r="G365" s="14"/>
      <c r="H365" s="10"/>
      <c r="I365" s="10"/>
      <c r="J365" s="147">
        <f>J366+J368</f>
        <v>0</v>
      </c>
      <c r="K365" s="147">
        <f t="shared" ref="K365:M365" si="77">K366+K368</f>
        <v>750000</v>
      </c>
      <c r="L365" s="147">
        <f t="shared" si="77"/>
        <v>0</v>
      </c>
      <c r="M365" s="147">
        <f t="shared" si="77"/>
        <v>750000</v>
      </c>
      <c r="N365" s="147"/>
      <c r="O365" s="1137"/>
      <c r="P365" s="32" t="s">
        <v>102</v>
      </c>
      <c r="Q365" s="7">
        <f t="shared" ref="Q365:R365" si="78">Q366+Q368</f>
        <v>480044</v>
      </c>
      <c r="R365" s="7">
        <f t="shared" si="78"/>
        <v>321721</v>
      </c>
      <c r="S365" s="403"/>
      <c r="T365" s="403"/>
      <c r="U365" s="403"/>
      <c r="V365" s="1137" t="s">
        <v>517</v>
      </c>
      <c r="X365" s="16">
        <f t="shared" si="60"/>
        <v>750000</v>
      </c>
      <c r="Y365" s="16">
        <f t="shared" si="71"/>
        <v>0</v>
      </c>
    </row>
    <row r="366" spans="1:25" s="39" customFormat="1" ht="75">
      <c r="B366" s="388"/>
      <c r="C366" s="179"/>
      <c r="D366" s="425"/>
      <c r="E366" s="1137" t="s">
        <v>4967</v>
      </c>
      <c r="F366" s="72" t="s">
        <v>5138</v>
      </c>
      <c r="G366" s="236"/>
      <c r="H366" s="105">
        <v>3062</v>
      </c>
      <c r="I366" s="105"/>
      <c r="J366" s="14"/>
      <c r="K366" s="14">
        <v>250000</v>
      </c>
      <c r="L366" s="14"/>
      <c r="M366" s="14">
        <f>SUM(K366:L366)</f>
        <v>250000</v>
      </c>
      <c r="N366" s="14">
        <f>M366+H366</f>
        <v>253062</v>
      </c>
      <c r="O366" s="1137"/>
      <c r="P366" s="1137"/>
      <c r="Q366" s="216"/>
      <c r="R366" s="216"/>
      <c r="S366" s="403"/>
      <c r="T366" s="403"/>
      <c r="U366" s="403"/>
      <c r="V366" s="1137"/>
      <c r="W366" s="14" t="s">
        <v>37</v>
      </c>
      <c r="X366" s="16">
        <f t="shared" si="60"/>
        <v>250000</v>
      </c>
      <c r="Y366" s="16">
        <f t="shared" si="71"/>
        <v>0</v>
      </c>
    </row>
    <row r="367" spans="1:25" s="39" customFormat="1" ht="15.95" customHeight="1">
      <c r="B367" s="388"/>
      <c r="C367" s="179"/>
      <c r="D367" s="425"/>
      <c r="E367" s="1137"/>
      <c r="F367" s="72"/>
      <c r="G367" s="236"/>
      <c r="H367" s="105"/>
      <c r="I367" s="105"/>
      <c r="J367" s="14"/>
      <c r="K367" s="14"/>
      <c r="L367" s="14"/>
      <c r="M367" s="14"/>
      <c r="N367" s="14"/>
      <c r="O367" s="1137"/>
      <c r="P367" s="1137"/>
      <c r="Q367" s="216"/>
      <c r="R367" s="216"/>
      <c r="S367" s="403"/>
      <c r="T367" s="403"/>
      <c r="U367" s="403"/>
      <c r="V367" s="1137"/>
      <c r="W367" s="14"/>
      <c r="X367" s="16">
        <f t="shared" si="60"/>
        <v>0</v>
      </c>
      <c r="Y367" s="16">
        <f t="shared" si="71"/>
        <v>0</v>
      </c>
    </row>
    <row r="368" spans="1:25" s="39" customFormat="1" ht="114.75" customHeight="1">
      <c r="B368" s="10"/>
      <c r="C368" s="180"/>
      <c r="D368" s="26"/>
      <c r="E368" s="1137" t="s">
        <v>5139</v>
      </c>
      <c r="F368" s="72" t="s">
        <v>5140</v>
      </c>
      <c r="G368" s="236"/>
      <c r="H368" s="426"/>
      <c r="I368" s="426"/>
      <c r="J368" s="14"/>
      <c r="K368" s="14">
        <v>500000</v>
      </c>
      <c r="L368" s="14"/>
      <c r="M368" s="14">
        <f>SUM(K368:L368)</f>
        <v>500000</v>
      </c>
      <c r="N368" s="14"/>
      <c r="O368" s="1137"/>
      <c r="P368" s="1137"/>
      <c r="Q368" s="216">
        <v>480044</v>
      </c>
      <c r="R368" s="216">
        <v>321721</v>
      </c>
      <c r="S368" s="1335" t="s">
        <v>4804</v>
      </c>
      <c r="T368" s="1335"/>
      <c r="U368" s="1335"/>
      <c r="V368" s="1137"/>
      <c r="W368" s="14" t="s">
        <v>879</v>
      </c>
      <c r="X368" s="16">
        <f t="shared" si="60"/>
        <v>500000</v>
      </c>
      <c r="Y368" s="16">
        <f t="shared" si="71"/>
        <v>0</v>
      </c>
    </row>
    <row r="369" spans="1:25" s="39" customFormat="1" ht="15.95" customHeight="1">
      <c r="B369" s="10"/>
      <c r="C369" s="180"/>
      <c r="D369" s="26"/>
      <c r="E369" s="1137"/>
      <c r="F369" s="12"/>
      <c r="G369" s="14"/>
      <c r="H369" s="426"/>
      <c r="I369" s="426"/>
      <c r="J369" s="14"/>
      <c r="K369" s="14"/>
      <c r="L369" s="14"/>
      <c r="M369" s="14"/>
      <c r="N369" s="14"/>
      <c r="O369" s="154"/>
      <c r="P369" s="32"/>
      <c r="Q369" s="243"/>
      <c r="R369" s="243"/>
      <c r="S369" s="515"/>
      <c r="T369" s="515"/>
      <c r="U369" s="515"/>
      <c r="V369" s="1137" t="s">
        <v>517</v>
      </c>
      <c r="X369" s="16">
        <f t="shared" si="60"/>
        <v>0</v>
      </c>
      <c r="Y369" s="16">
        <f t="shared" si="71"/>
        <v>0</v>
      </c>
    </row>
    <row r="370" spans="1:25" s="39" customFormat="1" ht="90">
      <c r="B370" s="263" t="s">
        <v>880</v>
      </c>
      <c r="C370" s="77" t="s">
        <v>881</v>
      </c>
      <c r="D370" s="78">
        <v>40959</v>
      </c>
      <c r="E370" s="182" t="s">
        <v>5139</v>
      </c>
      <c r="F370" s="72" t="s">
        <v>5141</v>
      </c>
      <c r="G370" s="1103"/>
      <c r="H370" s="426"/>
      <c r="I370" s="426"/>
      <c r="J370" s="79"/>
      <c r="K370" s="74">
        <v>63000</v>
      </c>
      <c r="L370" s="74"/>
      <c r="M370" s="74">
        <f>SUM(K370:L370)</f>
        <v>63000</v>
      </c>
      <c r="N370" s="74"/>
      <c r="O370" s="23"/>
      <c r="P370" s="32" t="s">
        <v>102</v>
      </c>
      <c r="Q370" s="216">
        <v>51345</v>
      </c>
      <c r="R370" s="216">
        <v>58752</v>
      </c>
      <c r="S370" s="1324" t="s">
        <v>4805</v>
      </c>
      <c r="T370" s="1324"/>
      <c r="U370" s="1324"/>
      <c r="V370" s="22"/>
      <c r="W370" s="14" t="s">
        <v>879</v>
      </c>
      <c r="X370" s="16">
        <f t="shared" si="60"/>
        <v>63000</v>
      </c>
      <c r="Y370" s="16">
        <f t="shared" si="71"/>
        <v>0</v>
      </c>
    </row>
    <row r="371" spans="1:25" s="16" customFormat="1" ht="15">
      <c r="A371" s="236"/>
      <c r="B371" s="21"/>
      <c r="C371" s="23"/>
      <c r="D371" s="380"/>
      <c r="E371" s="23"/>
      <c r="F371" s="22"/>
      <c r="G371" s="22"/>
      <c r="H371" s="22"/>
      <c r="I371" s="22"/>
      <c r="J371" s="22"/>
      <c r="K371" s="22"/>
      <c r="L371" s="22"/>
      <c r="M371" s="22"/>
      <c r="N371" s="22"/>
      <c r="O371" s="812"/>
      <c r="P371" s="1137"/>
      <c r="Q371" s="243"/>
      <c r="R371" s="243"/>
      <c r="S371" s="515"/>
      <c r="T371" s="515"/>
      <c r="U371" s="515"/>
      <c r="V371" s="1137"/>
      <c r="W371" s="14"/>
      <c r="X371" s="16">
        <f t="shared" si="60"/>
        <v>0</v>
      </c>
      <c r="Y371" s="16">
        <f t="shared" si="71"/>
        <v>0</v>
      </c>
    </row>
    <row r="372" spans="1:25" s="16" customFormat="1" ht="15">
      <c r="A372" s="236"/>
      <c r="B372" s="829" t="s">
        <v>882</v>
      </c>
      <c r="C372" s="77"/>
      <c r="D372" s="78"/>
      <c r="E372" s="1137"/>
      <c r="F372" s="98"/>
      <c r="G372" s="97"/>
      <c r="H372" s="243"/>
      <c r="I372" s="243"/>
      <c r="J372" s="121">
        <f>SUM(J373:J374)</f>
        <v>0</v>
      </c>
      <c r="K372" s="121">
        <f>SUM(K373:K374)</f>
        <v>0</v>
      </c>
      <c r="L372" s="121">
        <f>SUM(L373:L375)</f>
        <v>310424.20199999999</v>
      </c>
      <c r="M372" s="121">
        <f>SUM(M373:M375)</f>
        <v>310424.20199999999</v>
      </c>
      <c r="N372" s="121"/>
      <c r="O372" s="154"/>
      <c r="Q372" s="121">
        <f t="shared" ref="Q372:R372" si="79">SUM(Q373:Q375)</f>
        <v>300869</v>
      </c>
      <c r="R372" s="121">
        <f t="shared" si="79"/>
        <v>94782</v>
      </c>
      <c r="S372" s="515"/>
      <c r="T372" s="515"/>
      <c r="U372" s="515"/>
      <c r="V372" s="1137" t="s">
        <v>517</v>
      </c>
      <c r="X372" s="16">
        <f t="shared" si="60"/>
        <v>310424.20199999999</v>
      </c>
      <c r="Y372" s="16">
        <f t="shared" si="71"/>
        <v>0</v>
      </c>
    </row>
    <row r="373" spans="1:25" s="16" customFormat="1" ht="60" customHeight="1">
      <c r="A373" s="236"/>
      <c r="B373" s="1101" t="s">
        <v>884</v>
      </c>
      <c r="C373" s="77" t="s">
        <v>885</v>
      </c>
      <c r="D373" s="78">
        <v>40959</v>
      </c>
      <c r="E373" s="182" t="s">
        <v>5143</v>
      </c>
      <c r="F373" s="72" t="s">
        <v>5142</v>
      </c>
      <c r="G373" s="1103"/>
      <c r="H373" s="105">
        <v>5685768</v>
      </c>
      <c r="I373" s="105"/>
      <c r="J373" s="79"/>
      <c r="K373" s="74"/>
      <c r="L373" s="74">
        <v>310424.20199999999</v>
      </c>
      <c r="M373" s="74">
        <f>SUM(K373:L373)</f>
        <v>310424.20199999999</v>
      </c>
      <c r="N373" s="74">
        <f>M373+H373</f>
        <v>5996192.2019999996</v>
      </c>
      <c r="O373" s="154"/>
      <c r="P373" s="32" t="s">
        <v>102</v>
      </c>
      <c r="Q373" s="243">
        <v>300869</v>
      </c>
      <c r="R373" s="243">
        <f>58961+35821</f>
        <v>94782</v>
      </c>
      <c r="S373" s="1344" t="s">
        <v>4806</v>
      </c>
      <c r="T373" s="1344"/>
      <c r="U373" s="1344"/>
      <c r="V373" s="1137"/>
      <c r="W373" s="14" t="s">
        <v>883</v>
      </c>
      <c r="X373" s="16">
        <f t="shared" si="60"/>
        <v>310424.20199999999</v>
      </c>
      <c r="Y373" s="16">
        <f t="shared" si="71"/>
        <v>0</v>
      </c>
    </row>
    <row r="374" spans="1:25" s="39" customFormat="1" ht="15.95" customHeight="1">
      <c r="B374" s="1101" t="s">
        <v>886</v>
      </c>
      <c r="C374" s="77"/>
      <c r="D374" s="78"/>
      <c r="E374" s="182"/>
      <c r="F374" s="72"/>
      <c r="G374" s="1103"/>
      <c r="H374" s="105"/>
      <c r="I374" s="105"/>
      <c r="J374" s="79"/>
      <c r="K374" s="74"/>
      <c r="L374" s="74"/>
      <c r="M374" s="74"/>
      <c r="N374" s="74"/>
      <c r="O374" s="23"/>
      <c r="P374" s="165"/>
      <c r="Q374" s="216"/>
      <c r="R374" s="216"/>
      <c r="S374" s="877"/>
      <c r="T374" s="877"/>
      <c r="U374" s="877"/>
      <c r="V374" s="22"/>
      <c r="X374" s="16">
        <f t="shared" si="60"/>
        <v>0</v>
      </c>
      <c r="Y374" s="16">
        <f t="shared" si="71"/>
        <v>0</v>
      </c>
    </row>
    <row r="375" spans="1:25" s="39" customFormat="1" ht="15.95" customHeight="1">
      <c r="B375" s="21"/>
      <c r="C375" s="23"/>
      <c r="D375" s="380"/>
      <c r="E375" s="23"/>
      <c r="F375" s="22"/>
      <c r="G375" s="22"/>
      <c r="H375" s="22"/>
      <c r="I375" s="22"/>
      <c r="J375" s="22"/>
      <c r="K375" s="22"/>
      <c r="L375" s="22"/>
      <c r="M375" s="22"/>
      <c r="N375" s="22"/>
      <c r="O375" s="812"/>
      <c r="P375" s="1137"/>
      <c r="Q375" s="243"/>
      <c r="R375" s="243"/>
      <c r="S375" s="515"/>
      <c r="T375" s="515"/>
      <c r="U375" s="515"/>
      <c r="V375" s="1137"/>
      <c r="W375" s="14"/>
      <c r="X375" s="16">
        <f t="shared" si="60"/>
        <v>0</v>
      </c>
      <c r="Y375" s="16">
        <f t="shared" si="71"/>
        <v>0</v>
      </c>
    </row>
    <row r="376" spans="1:25" s="39" customFormat="1" ht="15.95" customHeight="1">
      <c r="B376" s="829" t="s">
        <v>887</v>
      </c>
      <c r="C376" s="77"/>
      <c r="D376" s="78"/>
      <c r="E376" s="1137"/>
      <c r="F376" s="98"/>
      <c r="G376" s="97"/>
      <c r="H376" s="357"/>
      <c r="I376" s="357"/>
      <c r="J376" s="121">
        <f t="shared" ref="J376:M376" si="80">J377</f>
        <v>0</v>
      </c>
      <c r="K376" s="121">
        <f t="shared" si="80"/>
        <v>0</v>
      </c>
      <c r="L376" s="121">
        <f t="shared" si="80"/>
        <v>16000</v>
      </c>
      <c r="M376" s="121">
        <f t="shared" si="80"/>
        <v>16000</v>
      </c>
      <c r="N376" s="121"/>
      <c r="O376" s="154"/>
      <c r="Q376" s="121">
        <f t="shared" ref="Q376:R376" si="81">Q377</f>
        <v>16000</v>
      </c>
      <c r="R376" s="121">
        <f t="shared" si="81"/>
        <v>14739</v>
      </c>
      <c r="S376" s="515"/>
      <c r="T376" s="515"/>
      <c r="U376" s="515"/>
      <c r="V376" s="1137" t="s">
        <v>517</v>
      </c>
      <c r="X376" s="16">
        <f t="shared" si="60"/>
        <v>16000</v>
      </c>
      <c r="Y376" s="16">
        <f t="shared" si="71"/>
        <v>0</v>
      </c>
    </row>
    <row r="377" spans="1:25" s="39" customFormat="1" ht="105">
      <c r="B377" s="1101" t="s">
        <v>889</v>
      </c>
      <c r="C377" s="77" t="s">
        <v>890</v>
      </c>
      <c r="D377" s="78">
        <v>40959</v>
      </c>
      <c r="E377" s="182" t="s">
        <v>4963</v>
      </c>
      <c r="F377" s="72" t="s">
        <v>5144</v>
      </c>
      <c r="G377" s="1103"/>
      <c r="H377" s="105">
        <v>4112789</v>
      </c>
      <c r="I377" s="105"/>
      <c r="J377" s="79"/>
      <c r="K377" s="74"/>
      <c r="L377" s="74">
        <v>16000</v>
      </c>
      <c r="M377" s="74">
        <f>SUM(K377:L377)</f>
        <v>16000</v>
      </c>
      <c r="N377" s="74">
        <f>M377+H377</f>
        <v>4128789</v>
      </c>
      <c r="O377" s="23"/>
      <c r="P377" s="32" t="s">
        <v>102</v>
      </c>
      <c r="Q377" s="216">
        <f>16000</f>
        <v>16000</v>
      </c>
      <c r="R377" s="216">
        <f>14739</f>
        <v>14739</v>
      </c>
      <c r="S377" s="1331" t="s">
        <v>4807</v>
      </c>
      <c r="T377" s="1331"/>
      <c r="U377" s="1331"/>
      <c r="V377" s="22"/>
      <c r="W377" s="14" t="s">
        <v>888</v>
      </c>
      <c r="X377" s="16">
        <f t="shared" si="60"/>
        <v>16000</v>
      </c>
      <c r="Y377" s="16">
        <f t="shared" si="71"/>
        <v>0</v>
      </c>
    </row>
    <row r="378" spans="1:25" s="16" customFormat="1" ht="15">
      <c r="A378" s="236"/>
      <c r="B378" s="21"/>
      <c r="C378" s="23"/>
      <c r="D378" s="380"/>
      <c r="E378" s="23"/>
      <c r="F378" s="22"/>
      <c r="G378" s="22"/>
      <c r="H378" s="22"/>
      <c r="I378" s="22"/>
      <c r="J378" s="22"/>
      <c r="K378" s="22"/>
      <c r="L378" s="22"/>
      <c r="M378" s="22"/>
      <c r="N378" s="22"/>
      <c r="O378" s="814"/>
      <c r="P378" s="179"/>
      <c r="Q378" s="428"/>
      <c r="R378" s="428"/>
      <c r="S378" s="930"/>
      <c r="T378" s="930"/>
      <c r="U378" s="930"/>
      <c r="V378" s="179" t="s">
        <v>517</v>
      </c>
      <c r="X378" s="16">
        <f t="shared" si="60"/>
        <v>0</v>
      </c>
      <c r="Y378" s="16">
        <f t="shared" si="71"/>
        <v>0</v>
      </c>
    </row>
    <row r="379" spans="1:25" s="16" customFormat="1" ht="15">
      <c r="A379" s="236"/>
      <c r="B379" s="847" t="s">
        <v>52</v>
      </c>
      <c r="C379" s="429" t="s">
        <v>891</v>
      </c>
      <c r="D379" s="430">
        <v>40959</v>
      </c>
      <c r="E379" s="1137"/>
      <c r="F379" s="236"/>
      <c r="G379" s="385"/>
      <c r="H379" s="427"/>
      <c r="I379" s="427"/>
      <c r="J379" s="431">
        <f t="shared" ref="J379:K379" si="82">SUM(J380:J381)</f>
        <v>0</v>
      </c>
      <c r="K379" s="431">
        <f t="shared" si="82"/>
        <v>0</v>
      </c>
      <c r="L379" s="431">
        <f>SUM(L380:L381)</f>
        <v>136366</v>
      </c>
      <c r="M379" s="752">
        <f>SUM(M380:M381)</f>
        <v>136366</v>
      </c>
      <c r="N379" s="431"/>
      <c r="O379" s="154"/>
      <c r="Q379" s="752">
        <f t="shared" ref="Q379:R379" si="83">SUM(Q380:Q381)</f>
        <v>136366</v>
      </c>
      <c r="R379" s="752">
        <f t="shared" si="83"/>
        <v>134288</v>
      </c>
      <c r="S379" s="515"/>
      <c r="T379" s="515"/>
      <c r="U379" s="515"/>
      <c r="V379" s="1137"/>
      <c r="X379" s="16">
        <f t="shared" si="60"/>
        <v>136366</v>
      </c>
      <c r="Y379" s="16">
        <f t="shared" si="71"/>
        <v>0</v>
      </c>
    </row>
    <row r="380" spans="1:25" s="16" customFormat="1" ht="45">
      <c r="A380" s="236"/>
      <c r="B380" s="1101" t="s">
        <v>893</v>
      </c>
      <c r="C380" s="77"/>
      <c r="D380" s="78"/>
      <c r="E380" s="182" t="s">
        <v>851</v>
      </c>
      <c r="F380" s="72" t="s">
        <v>5145</v>
      </c>
      <c r="G380" s="1103"/>
      <c r="H380" s="105">
        <v>100000</v>
      </c>
      <c r="I380" s="105"/>
      <c r="J380" s="79"/>
      <c r="K380" s="74"/>
      <c r="L380" s="74">
        <v>113366</v>
      </c>
      <c r="M380" s="74">
        <f>SUM(K380:L380)</f>
        <v>113366</v>
      </c>
      <c r="N380" s="74">
        <f>M380+H380</f>
        <v>213366</v>
      </c>
      <c r="O380" s="154"/>
      <c r="P380" s="32" t="s">
        <v>102</v>
      </c>
      <c r="Q380" s="243">
        <v>113366</v>
      </c>
      <c r="R380" s="243">
        <v>111288</v>
      </c>
      <c r="S380" s="1344" t="s">
        <v>4808</v>
      </c>
      <c r="T380" s="1344"/>
      <c r="U380" s="1344"/>
      <c r="V380" s="1137"/>
      <c r="W380" s="14" t="s">
        <v>892</v>
      </c>
      <c r="X380" s="16">
        <f t="shared" si="60"/>
        <v>113366</v>
      </c>
      <c r="Y380" s="16">
        <f t="shared" si="71"/>
        <v>0</v>
      </c>
    </row>
    <row r="381" spans="1:25" s="16" customFormat="1" ht="30">
      <c r="A381" s="236"/>
      <c r="B381" s="1101"/>
      <c r="C381" s="77"/>
      <c r="D381" s="78"/>
      <c r="E381" s="182" t="s">
        <v>5147</v>
      </c>
      <c r="F381" s="72" t="s">
        <v>5146</v>
      </c>
      <c r="G381" s="1103"/>
      <c r="H381" s="105">
        <v>2000000</v>
      </c>
      <c r="I381" s="105"/>
      <c r="J381" s="79"/>
      <c r="K381" s="74"/>
      <c r="L381" s="74">
        <v>23000</v>
      </c>
      <c r="M381" s="74">
        <f>SUM(K381:L381)</f>
        <v>23000</v>
      </c>
      <c r="N381" s="74">
        <f>M381+H381</f>
        <v>2023000</v>
      </c>
      <c r="O381" s="1136"/>
      <c r="P381" s="32" t="s">
        <v>102</v>
      </c>
      <c r="Q381" s="93">
        <v>23000</v>
      </c>
      <c r="R381" s="93">
        <v>23000</v>
      </c>
      <c r="S381" s="1343" t="s">
        <v>4809</v>
      </c>
      <c r="T381" s="1343"/>
      <c r="U381" s="1343"/>
      <c r="W381" s="14" t="s">
        <v>892</v>
      </c>
      <c r="X381" s="16">
        <f t="shared" si="60"/>
        <v>23000</v>
      </c>
      <c r="Y381" s="16">
        <f t="shared" si="71"/>
        <v>0</v>
      </c>
    </row>
    <row r="382" spans="1:25" s="16" customFormat="1" ht="15">
      <c r="A382" s="236"/>
      <c r="B382" s="10"/>
      <c r="C382" s="180"/>
      <c r="D382" s="26"/>
      <c r="E382" s="1137"/>
      <c r="F382" s="12"/>
      <c r="G382" s="14"/>
      <c r="H382" s="10"/>
      <c r="I382" s="10"/>
      <c r="J382" s="14"/>
      <c r="K382" s="14"/>
      <c r="L382" s="14"/>
      <c r="M382" s="14"/>
      <c r="N382" s="10"/>
      <c r="O382" s="1136"/>
      <c r="P382" s="1137"/>
      <c r="Q382" s="93"/>
      <c r="R382" s="93"/>
      <c r="S382" s="876"/>
      <c r="T382" s="876"/>
      <c r="U382" s="876"/>
      <c r="W382" s="14"/>
      <c r="X382" s="16">
        <f t="shared" si="60"/>
        <v>0</v>
      </c>
      <c r="Y382" s="16">
        <f t="shared" si="71"/>
        <v>0</v>
      </c>
    </row>
    <row r="383" spans="1:25" s="31" customFormat="1" ht="15">
      <c r="B383" s="829" t="s">
        <v>894</v>
      </c>
      <c r="C383" s="180"/>
      <c r="D383" s="26"/>
      <c r="E383" s="1137"/>
      <c r="F383" s="12"/>
      <c r="G383" s="14"/>
      <c r="H383" s="10"/>
      <c r="I383" s="10"/>
      <c r="J383" s="7">
        <f>J384</f>
        <v>0</v>
      </c>
      <c r="K383" s="7">
        <f t="shared" ref="K383:M383" si="84">K384</f>
        <v>61627.976999999999</v>
      </c>
      <c r="L383" s="7">
        <f t="shared" si="84"/>
        <v>0</v>
      </c>
      <c r="M383" s="7">
        <f t="shared" si="84"/>
        <v>61627.976999999999</v>
      </c>
      <c r="N383" s="10"/>
      <c r="O383" s="244"/>
      <c r="Q383" s="7">
        <f t="shared" ref="Q383:R383" si="85">Q384</f>
        <v>0</v>
      </c>
      <c r="R383" s="7">
        <f t="shared" si="85"/>
        <v>61477</v>
      </c>
      <c r="S383" s="255"/>
      <c r="T383" s="255"/>
      <c r="U383" s="255"/>
      <c r="V383" s="32" t="s">
        <v>517</v>
      </c>
      <c r="W383" s="31" t="s">
        <v>895</v>
      </c>
      <c r="X383" s="16">
        <f t="shared" si="60"/>
        <v>61627.976999999999</v>
      </c>
      <c r="Y383" s="16">
        <f t="shared" si="71"/>
        <v>0</v>
      </c>
    </row>
    <row r="384" spans="1:25" s="477" customFormat="1" ht="90">
      <c r="B384" s="1101" t="s">
        <v>896</v>
      </c>
      <c r="C384" s="77" t="s">
        <v>897</v>
      </c>
      <c r="D384" s="78">
        <v>41116</v>
      </c>
      <c r="E384" s="182" t="s">
        <v>5010</v>
      </c>
      <c r="F384" s="72" t="s">
        <v>5148</v>
      </c>
      <c r="G384" s="72"/>
      <c r="H384" s="357">
        <v>274290</v>
      </c>
      <c r="I384" s="357"/>
      <c r="J384" s="31"/>
      <c r="K384" s="74">
        <v>61627.976999999999</v>
      </c>
      <c r="L384" s="74"/>
      <c r="M384" s="74">
        <f>SUM(K384:L384)</f>
        <v>61627.976999999999</v>
      </c>
      <c r="N384" s="184">
        <f>M384+H384</f>
        <v>335917.97700000001</v>
      </c>
      <c r="O384" s="244"/>
      <c r="P384" s="32" t="s">
        <v>102</v>
      </c>
      <c r="Q384" s="243"/>
      <c r="R384" s="243">
        <v>61477</v>
      </c>
      <c r="S384" s="1333" t="s">
        <v>6106</v>
      </c>
      <c r="T384" s="1333"/>
      <c r="U384" s="1333"/>
      <c r="V384" s="727"/>
      <c r="X384" s="16">
        <f t="shared" si="60"/>
        <v>61627.976999999999</v>
      </c>
      <c r="Y384" s="16">
        <f t="shared" si="71"/>
        <v>0</v>
      </c>
    </row>
    <row r="385" spans="1:25" s="16" customFormat="1" ht="15">
      <c r="A385" s="236"/>
      <c r="B385" s="312" t="s">
        <v>65</v>
      </c>
      <c r="C385" s="433"/>
      <c r="D385" s="434"/>
      <c r="E385" s="182"/>
      <c r="F385" s="432"/>
      <c r="G385" s="432"/>
      <c r="H385" s="357"/>
      <c r="I385" s="357"/>
      <c r="J385" s="507">
        <f>J386</f>
        <v>0</v>
      </c>
      <c r="K385" s="507">
        <f t="shared" ref="K385:M385" si="86">K386</f>
        <v>0</v>
      </c>
      <c r="L385" s="507">
        <f t="shared" si="86"/>
        <v>2851155</v>
      </c>
      <c r="M385" s="507">
        <f t="shared" si="86"/>
        <v>2851155</v>
      </c>
      <c r="N385" s="184"/>
      <c r="O385" s="1137"/>
      <c r="P385" s="179"/>
      <c r="Q385" s="507">
        <f t="shared" ref="Q385:R385" si="87">Q386</f>
        <v>2714156</v>
      </c>
      <c r="R385" s="507">
        <f t="shared" si="87"/>
        <v>2113541</v>
      </c>
      <c r="S385" s="928"/>
      <c r="T385" s="928"/>
      <c r="U385" s="928"/>
      <c r="V385" s="14" t="s">
        <v>61</v>
      </c>
      <c r="X385" s="16">
        <f t="shared" si="60"/>
        <v>2851155</v>
      </c>
      <c r="Y385" s="16">
        <f t="shared" si="71"/>
        <v>0</v>
      </c>
    </row>
    <row r="386" spans="1:25" s="16" customFormat="1" ht="30">
      <c r="A386" s="236"/>
      <c r="B386" s="837" t="s">
        <v>898</v>
      </c>
      <c r="C386" s="1137" t="s">
        <v>899</v>
      </c>
      <c r="D386" s="13">
        <v>40851</v>
      </c>
      <c r="E386" s="1137" t="s">
        <v>5002</v>
      </c>
      <c r="F386" s="1129" t="s">
        <v>5001</v>
      </c>
      <c r="G386" s="1129"/>
      <c r="H386" s="1136"/>
      <c r="I386" s="1136"/>
      <c r="J386" s="13"/>
      <c r="K386" s="13"/>
      <c r="L386" s="1137">
        <v>2851155</v>
      </c>
      <c r="M386" s="1136">
        <f>SUM(J386:L386)</f>
        <v>2851155</v>
      </c>
      <c r="N386" s="1137" t="s">
        <v>517</v>
      </c>
      <c r="O386" s="1137"/>
      <c r="P386" s="179"/>
      <c r="Q386" s="223">
        <v>2714156</v>
      </c>
      <c r="R386" s="223">
        <v>2113541</v>
      </c>
      <c r="S386" s="1335" t="s">
        <v>4542</v>
      </c>
      <c r="T386" s="1335"/>
      <c r="U386" s="1335"/>
      <c r="V386" s="14"/>
      <c r="X386" s="16">
        <f t="shared" si="60"/>
        <v>2851155</v>
      </c>
      <c r="Y386" s="16">
        <f t="shared" si="71"/>
        <v>0</v>
      </c>
    </row>
    <row r="387" spans="1:25" s="739" customFormat="1" ht="15.95" customHeight="1">
      <c r="B387" s="837"/>
      <c r="C387" s="1137"/>
      <c r="D387" s="13"/>
      <c r="E387" s="1137"/>
      <c r="F387" s="1129"/>
      <c r="G387" s="1129"/>
      <c r="H387" s="1136"/>
      <c r="I387" s="1136"/>
      <c r="J387" s="13"/>
      <c r="K387" s="13"/>
      <c r="L387" s="1137"/>
      <c r="M387" s="1136"/>
      <c r="N387" s="1137"/>
      <c r="O387" s="166"/>
      <c r="P387" s="1151"/>
      <c r="Q387" s="216"/>
      <c r="R387" s="216"/>
      <c r="S387" s="877"/>
      <c r="T387" s="877"/>
      <c r="U387" s="877"/>
      <c r="V387" s="38"/>
      <c r="X387" s="16">
        <f t="shared" ref="X387:X1735" si="88">SUM(J387:L387)</f>
        <v>0</v>
      </c>
      <c r="Y387" s="16">
        <f t="shared" si="71"/>
        <v>0</v>
      </c>
    </row>
    <row r="388" spans="1:25" s="16" customFormat="1" ht="15">
      <c r="A388" s="236"/>
      <c r="B388" s="829" t="s">
        <v>900</v>
      </c>
      <c r="C388" s="1140"/>
      <c r="D388" s="5"/>
      <c r="E388" s="1137"/>
      <c r="F388" s="393"/>
      <c r="G388" s="4"/>
      <c r="H388" s="10">
        <v>537910</v>
      </c>
      <c r="I388" s="10"/>
      <c r="J388" s="7">
        <f>SUM(J390:J392)</f>
        <v>0</v>
      </c>
      <c r="K388" s="7">
        <f>SUM(K390:K392)</f>
        <v>24650</v>
      </c>
      <c r="L388" s="7">
        <f t="shared" ref="L388:M388" si="89">SUM(L390:L392)</f>
        <v>0</v>
      </c>
      <c r="M388" s="7">
        <f t="shared" si="89"/>
        <v>24650</v>
      </c>
      <c r="N388" s="10">
        <f>H388+M388</f>
        <v>562560</v>
      </c>
      <c r="O388" s="775"/>
      <c r="P388" s="1137"/>
      <c r="Q388" s="7">
        <f t="shared" ref="Q388:R388" si="90">SUM(Q390:Q392)</f>
        <v>13252</v>
      </c>
      <c r="R388" s="7">
        <f t="shared" si="90"/>
        <v>13252</v>
      </c>
      <c r="S388" s="926"/>
      <c r="T388" s="926"/>
      <c r="U388" s="926"/>
      <c r="V388" s="1137"/>
      <c r="W388" s="14"/>
      <c r="X388" s="16">
        <f t="shared" si="88"/>
        <v>24650</v>
      </c>
      <c r="Y388" s="16">
        <f t="shared" ref="Y388:Y414" si="91">X388-M388</f>
        <v>0</v>
      </c>
    </row>
    <row r="389" spans="1:25" s="16" customFormat="1" ht="33" customHeight="1">
      <c r="A389" s="236"/>
      <c r="B389" s="841" t="s">
        <v>901</v>
      </c>
      <c r="C389" s="1137"/>
      <c r="D389" s="26"/>
      <c r="E389" s="1138"/>
      <c r="F389" s="12"/>
      <c r="G389" s="12"/>
      <c r="H389" s="388"/>
      <c r="I389" s="388"/>
      <c r="N389" s="388"/>
      <c r="O389" s="1136"/>
      <c r="P389" s="1137" t="s">
        <v>102</v>
      </c>
      <c r="Q389" s="93"/>
      <c r="R389" s="93"/>
      <c r="S389" s="876"/>
      <c r="T389" s="876"/>
      <c r="U389" s="876"/>
      <c r="V389" s="1137" t="s">
        <v>517</v>
      </c>
      <c r="W389" s="14" t="s">
        <v>12</v>
      </c>
      <c r="X389" s="16">
        <f t="shared" si="88"/>
        <v>0</v>
      </c>
      <c r="Y389" s="16">
        <f t="shared" si="91"/>
        <v>0</v>
      </c>
    </row>
    <row r="390" spans="1:25" s="16" customFormat="1" ht="68.25" customHeight="1">
      <c r="A390" s="236"/>
      <c r="B390" s="10" t="s">
        <v>902</v>
      </c>
      <c r="C390" s="1137" t="s">
        <v>904</v>
      </c>
      <c r="D390" s="13">
        <v>40869</v>
      </c>
      <c r="E390" s="1138" t="s">
        <v>5150</v>
      </c>
      <c r="F390" s="12" t="s">
        <v>5149</v>
      </c>
      <c r="G390" s="12" t="s">
        <v>903</v>
      </c>
      <c r="H390" s="10">
        <v>33463</v>
      </c>
      <c r="I390" s="10"/>
      <c r="J390" s="14"/>
      <c r="K390" s="14">
        <v>13350</v>
      </c>
      <c r="L390" s="14"/>
      <c r="M390" s="14">
        <f>SUM(J390:L390)</f>
        <v>13350</v>
      </c>
      <c r="N390" s="10">
        <f>H390+M390</f>
        <v>46813</v>
      </c>
      <c r="O390" s="1136"/>
      <c r="P390" s="1137" t="s">
        <v>102</v>
      </c>
      <c r="Q390" s="93">
        <f>4109</f>
        <v>4109</v>
      </c>
      <c r="R390" s="93">
        <v>4109</v>
      </c>
      <c r="S390" s="876"/>
      <c r="T390" s="876"/>
      <c r="U390" s="876"/>
      <c r="V390" s="1137" t="s">
        <v>517</v>
      </c>
      <c r="W390" s="14" t="s">
        <v>12</v>
      </c>
      <c r="X390" s="16">
        <f t="shared" si="88"/>
        <v>13350</v>
      </c>
      <c r="Y390" s="16">
        <f t="shared" si="91"/>
        <v>0</v>
      </c>
    </row>
    <row r="391" spans="1:25" s="16" customFormat="1" ht="135">
      <c r="A391" s="236"/>
      <c r="B391" s="10" t="s">
        <v>905</v>
      </c>
      <c r="C391" s="1137" t="s">
        <v>906</v>
      </c>
      <c r="D391" s="13">
        <v>40869</v>
      </c>
      <c r="E391" s="1138" t="s">
        <v>5152</v>
      </c>
      <c r="F391" s="12" t="s">
        <v>5151</v>
      </c>
      <c r="G391" s="12" t="s">
        <v>903</v>
      </c>
      <c r="H391" s="10">
        <v>35174</v>
      </c>
      <c r="I391" s="10"/>
      <c r="J391" s="14"/>
      <c r="K391" s="14">
        <v>3600</v>
      </c>
      <c r="L391" s="14"/>
      <c r="M391" s="14">
        <f>SUM(J391:L391)</f>
        <v>3600</v>
      </c>
      <c r="N391" s="10">
        <f>H391+M391</f>
        <v>38774</v>
      </c>
      <c r="O391" s="1136"/>
      <c r="P391" s="1137" t="s">
        <v>102</v>
      </c>
      <c r="Q391" s="93">
        <v>1443</v>
      </c>
      <c r="R391" s="93">
        <v>1443</v>
      </c>
      <c r="S391" s="876"/>
      <c r="T391" s="876"/>
      <c r="U391" s="876"/>
      <c r="V391" s="1137" t="s">
        <v>517</v>
      </c>
      <c r="W391" s="14" t="s">
        <v>12</v>
      </c>
      <c r="X391" s="16">
        <f t="shared" si="88"/>
        <v>3600</v>
      </c>
      <c r="Y391" s="16">
        <f t="shared" si="91"/>
        <v>0</v>
      </c>
    </row>
    <row r="392" spans="1:25" s="16" customFormat="1" ht="135">
      <c r="A392" s="236"/>
      <c r="B392" s="10" t="s">
        <v>907</v>
      </c>
      <c r="C392" s="1137" t="s">
        <v>908</v>
      </c>
      <c r="D392" s="13">
        <v>40869</v>
      </c>
      <c r="E392" s="1138" t="s">
        <v>5154</v>
      </c>
      <c r="F392" s="12" t="s">
        <v>5153</v>
      </c>
      <c r="G392" s="12" t="s">
        <v>903</v>
      </c>
      <c r="H392" s="10">
        <v>45932</v>
      </c>
      <c r="I392" s="10"/>
      <c r="J392" s="14"/>
      <c r="K392" s="14">
        <v>7700</v>
      </c>
      <c r="L392" s="14"/>
      <c r="M392" s="14">
        <f>SUM(J392:L392)</f>
        <v>7700</v>
      </c>
      <c r="N392" s="10">
        <f>H392+M392</f>
        <v>53632</v>
      </c>
      <c r="O392" s="1136"/>
      <c r="P392" s="1137"/>
      <c r="Q392" s="93">
        <v>7700</v>
      </c>
      <c r="R392" s="93">
        <v>7700</v>
      </c>
      <c r="S392" s="876"/>
      <c r="T392" s="876"/>
      <c r="U392" s="876"/>
      <c r="V392" s="1137"/>
      <c r="W392" s="14"/>
      <c r="X392" s="16">
        <f t="shared" si="88"/>
        <v>7700</v>
      </c>
      <c r="Y392" s="16">
        <f t="shared" si="91"/>
        <v>0</v>
      </c>
    </row>
    <row r="393" spans="1:25" s="231" customFormat="1" ht="15">
      <c r="A393" s="237"/>
      <c r="B393" s="413"/>
      <c r="C393" s="1137"/>
      <c r="D393" s="26"/>
      <c r="E393" s="1138"/>
      <c r="F393" s="12"/>
      <c r="G393" s="12"/>
      <c r="H393" s="10"/>
      <c r="I393" s="10"/>
      <c r="J393" s="14"/>
      <c r="K393" s="14"/>
      <c r="L393" s="14"/>
      <c r="M393" s="14"/>
      <c r="N393" s="10"/>
      <c r="O393" s="117"/>
      <c r="P393" s="1126"/>
      <c r="Q393" s="93"/>
      <c r="R393" s="93"/>
      <c r="S393" s="876"/>
      <c r="T393" s="876"/>
      <c r="U393" s="876"/>
      <c r="V393" s="1126"/>
      <c r="W393" s="360"/>
      <c r="X393" s="16">
        <f t="shared" si="88"/>
        <v>0</v>
      </c>
      <c r="Y393" s="16">
        <f t="shared" si="91"/>
        <v>0</v>
      </c>
    </row>
    <row r="394" spans="1:25" s="39" customFormat="1" ht="135">
      <c r="B394" s="843" t="s">
        <v>909</v>
      </c>
      <c r="C394" s="1137" t="s">
        <v>910</v>
      </c>
      <c r="D394" s="13">
        <v>40849</v>
      </c>
      <c r="E394" s="1138" t="s">
        <v>5156</v>
      </c>
      <c r="F394" s="1129" t="s">
        <v>5155</v>
      </c>
      <c r="G394" s="1129"/>
      <c r="H394" s="187">
        <v>48043</v>
      </c>
      <c r="I394" s="187"/>
      <c r="J394" s="187"/>
      <c r="K394" s="187">
        <v>1971145</v>
      </c>
      <c r="L394" s="187"/>
      <c r="M394" s="187">
        <f>SUM(J394:L394)</f>
        <v>1971145</v>
      </c>
      <c r="N394" s="187">
        <f>K394+H394</f>
        <v>2019188</v>
      </c>
      <c r="O394" s="1140"/>
      <c r="P394" s="1137"/>
      <c r="Q394" s="216">
        <f>92154+6478+55533+1794568</f>
        <v>1948733</v>
      </c>
      <c r="R394" s="216">
        <f>1149+3781+1365750+99241</f>
        <v>1469921</v>
      </c>
      <c r="S394" s="403"/>
      <c r="T394" s="403"/>
      <c r="U394" s="403"/>
      <c r="V394" s="14"/>
      <c r="W394" s="14"/>
      <c r="X394" s="16">
        <f t="shared" si="88"/>
        <v>1971145</v>
      </c>
      <c r="Y394" s="16">
        <f t="shared" si="91"/>
        <v>0</v>
      </c>
    </row>
    <row r="395" spans="1:25" s="39" customFormat="1" ht="15.95" customHeight="1">
      <c r="B395" s="841"/>
      <c r="C395" s="1137"/>
      <c r="D395" s="13"/>
      <c r="E395" s="1138"/>
      <c r="F395" s="1129"/>
      <c r="G395" s="1129"/>
      <c r="H395" s="187"/>
      <c r="I395" s="187"/>
      <c r="J395" s="187"/>
      <c r="K395" s="14"/>
      <c r="L395" s="14"/>
      <c r="M395" s="14"/>
      <c r="N395" s="187"/>
      <c r="O395" s="1140"/>
      <c r="P395" s="1137"/>
      <c r="Q395" s="216"/>
      <c r="R395" s="216"/>
      <c r="S395" s="403"/>
      <c r="T395" s="403"/>
      <c r="U395" s="403"/>
      <c r="V395" s="14"/>
      <c r="W395" s="14"/>
      <c r="X395" s="16">
        <f t="shared" si="88"/>
        <v>0</v>
      </c>
      <c r="Y395" s="16">
        <f t="shared" si="91"/>
        <v>0</v>
      </c>
    </row>
    <row r="396" spans="1:25" s="39" customFormat="1" ht="15.95" customHeight="1">
      <c r="B396" s="470" t="s">
        <v>141</v>
      </c>
      <c r="C396" s="166"/>
      <c r="D396" s="391"/>
      <c r="E396" s="23"/>
      <c r="F396" s="38"/>
      <c r="G396" s="38"/>
      <c r="H396" s="38"/>
      <c r="I396" s="38"/>
      <c r="J396" s="7">
        <f>SUM(J397:J397)</f>
        <v>0</v>
      </c>
      <c r="K396" s="7">
        <f>SUM(K397:K401)</f>
        <v>27886</v>
      </c>
      <c r="L396" s="7">
        <f>SUM(L397:L401)</f>
        <v>32114</v>
      </c>
      <c r="M396" s="7">
        <f>SUM(M397:M401)</f>
        <v>60000</v>
      </c>
      <c r="N396" s="38"/>
      <c r="O396" s="117"/>
      <c r="P396" s="1137"/>
      <c r="Q396" s="7">
        <f>SUM(Q397:Q401)</f>
        <v>60000</v>
      </c>
      <c r="R396" s="7">
        <f>SUM(R397:R401)</f>
        <v>45059</v>
      </c>
      <c r="S396" s="876"/>
      <c r="T396" s="876"/>
      <c r="U396" s="876"/>
      <c r="V396" s="117" t="s">
        <v>103</v>
      </c>
      <c r="W396" s="30"/>
      <c r="X396" s="16">
        <f t="shared" si="88"/>
        <v>60000</v>
      </c>
      <c r="Y396" s="16">
        <f t="shared" si="91"/>
        <v>0</v>
      </c>
    </row>
    <row r="397" spans="1:25" s="39" customFormat="1" ht="90">
      <c r="B397" s="1131" t="s">
        <v>911</v>
      </c>
      <c r="C397" s="1126" t="s">
        <v>912</v>
      </c>
      <c r="D397" s="190">
        <v>40878</v>
      </c>
      <c r="E397" s="1126" t="s">
        <v>4965</v>
      </c>
      <c r="F397" s="689" t="s">
        <v>5157</v>
      </c>
      <c r="G397" s="436"/>
      <c r="H397" s="117"/>
      <c r="I397" s="117"/>
      <c r="J397" s="30"/>
      <c r="K397" s="1137">
        <v>18886</v>
      </c>
      <c r="L397" s="1137">
        <v>9114</v>
      </c>
      <c r="M397" s="14">
        <f>SUM(J397:L397)</f>
        <v>28000</v>
      </c>
      <c r="N397" s="1136"/>
      <c r="O397" s="1136"/>
      <c r="P397" s="1137" t="s">
        <v>102</v>
      </c>
      <c r="Q397" s="1127">
        <f>1000+27000</f>
        <v>28000</v>
      </c>
      <c r="R397" s="1127">
        <v>17479</v>
      </c>
      <c r="S397" s="931"/>
      <c r="T397" s="931"/>
      <c r="U397" s="931"/>
      <c r="V397" s="43"/>
      <c r="W397" s="31" t="s">
        <v>913</v>
      </c>
      <c r="X397" s="16">
        <f t="shared" si="88"/>
        <v>28000</v>
      </c>
      <c r="Y397" s="16">
        <f t="shared" si="91"/>
        <v>0</v>
      </c>
    </row>
    <row r="398" spans="1:25" s="739" customFormat="1" ht="31.5" customHeight="1">
      <c r="B398" s="1131" t="s">
        <v>911</v>
      </c>
      <c r="C398" s="77" t="s">
        <v>915</v>
      </c>
      <c r="D398" s="78">
        <v>41022</v>
      </c>
      <c r="E398" s="1126"/>
      <c r="F398" s="22"/>
      <c r="G398" s="22"/>
      <c r="H398" s="357"/>
      <c r="I398" s="357"/>
      <c r="J398" s="30"/>
      <c r="K398" s="74">
        <v>9000</v>
      </c>
      <c r="L398" s="74">
        <v>23000</v>
      </c>
      <c r="M398" s="74">
        <f>SUM(K398:L398)</f>
        <v>32000</v>
      </c>
      <c r="N398" s="22"/>
      <c r="O398" s="166"/>
      <c r="P398" s="1137" t="s">
        <v>102</v>
      </c>
      <c r="Q398" s="216">
        <v>32000</v>
      </c>
      <c r="R398" s="216">
        <v>27580</v>
      </c>
      <c r="S398" s="883"/>
      <c r="T398" s="883"/>
      <c r="U398" s="883"/>
      <c r="W398" s="31" t="s">
        <v>913</v>
      </c>
      <c r="X398" s="16">
        <f>SUM(J398:L398)</f>
        <v>32000</v>
      </c>
      <c r="Y398" s="16">
        <f>X398-M398</f>
        <v>0</v>
      </c>
    </row>
    <row r="399" spans="1:25" s="739" customFormat="1" ht="15.95" customHeight="1">
      <c r="B399" s="848"/>
      <c r="C399" s="23"/>
      <c r="D399" s="380"/>
      <c r="E399" s="782"/>
      <c r="F399" s="22"/>
      <c r="G399" s="22"/>
      <c r="H399" s="22"/>
      <c r="I399" s="22"/>
      <c r="J399" s="22"/>
      <c r="K399" s="22"/>
      <c r="L399" s="22"/>
      <c r="M399" s="22"/>
      <c r="N399" s="22"/>
      <c r="O399" s="166"/>
      <c r="P399" s="1151"/>
      <c r="Q399" s="216"/>
      <c r="R399" s="216"/>
      <c r="S399" s="877"/>
      <c r="T399" s="877"/>
      <c r="U399" s="877"/>
      <c r="V399" s="38"/>
      <c r="X399" s="16">
        <f t="shared" si="88"/>
        <v>0</v>
      </c>
      <c r="Y399" s="16">
        <f t="shared" si="91"/>
        <v>0</v>
      </c>
    </row>
    <row r="400" spans="1:25" s="739" customFormat="1" ht="39.75" customHeight="1">
      <c r="B400" s="849" t="s">
        <v>914</v>
      </c>
      <c r="C400" s="23"/>
      <c r="D400" s="380"/>
      <c r="E400" s="783"/>
      <c r="F400" s="22"/>
      <c r="G400" s="22"/>
      <c r="H400" s="22"/>
      <c r="I400" s="22"/>
      <c r="J400" s="22"/>
      <c r="K400" s="22"/>
      <c r="L400" s="22"/>
      <c r="M400" s="22"/>
      <c r="N400" s="22"/>
      <c r="O400" s="166"/>
      <c r="P400" s="1030"/>
      <c r="Q400" s="216"/>
      <c r="R400" s="216"/>
      <c r="S400" s="1323" t="s">
        <v>6057</v>
      </c>
      <c r="T400" s="1323"/>
      <c r="U400" s="1323"/>
      <c r="V400" s="888"/>
      <c r="W400" s="888"/>
      <c r="X400" s="16">
        <f t="shared" si="88"/>
        <v>0</v>
      </c>
      <c r="Y400" s="16">
        <f t="shared" si="91"/>
        <v>0</v>
      </c>
    </row>
    <row r="401" spans="1:25" s="739" customFormat="1" ht="42" customHeight="1">
      <c r="B401" s="849" t="s">
        <v>6058</v>
      </c>
      <c r="C401" s="23"/>
      <c r="D401" s="380"/>
      <c r="E401" s="783"/>
      <c r="F401" s="22"/>
      <c r="G401" s="22"/>
      <c r="H401" s="22"/>
      <c r="I401" s="22"/>
      <c r="J401" s="22"/>
      <c r="K401" s="22"/>
      <c r="L401" s="22"/>
      <c r="M401" s="22"/>
      <c r="N401" s="22"/>
      <c r="O401" s="166"/>
      <c r="P401" s="1030"/>
      <c r="Q401" s="216"/>
      <c r="R401" s="216"/>
      <c r="S401" s="1323" t="s">
        <v>6059</v>
      </c>
      <c r="T401" s="1323"/>
      <c r="U401" s="1323"/>
      <c r="V401" s="888"/>
      <c r="W401" s="888"/>
      <c r="X401" s="16">
        <f t="shared" si="88"/>
        <v>0</v>
      </c>
      <c r="Y401" s="16">
        <f t="shared" si="91"/>
        <v>0</v>
      </c>
    </row>
    <row r="402" spans="1:25" s="739" customFormat="1" ht="123" customHeight="1">
      <c r="B402" s="849" t="s">
        <v>6060</v>
      </c>
      <c r="C402" s="23"/>
      <c r="D402" s="380"/>
      <c r="E402" s="783"/>
      <c r="F402" s="22"/>
      <c r="G402" s="22"/>
      <c r="H402" s="22"/>
      <c r="I402" s="22"/>
      <c r="J402" s="22"/>
      <c r="K402" s="22"/>
      <c r="L402" s="22"/>
      <c r="M402" s="22"/>
      <c r="N402" s="22"/>
      <c r="O402" s="166"/>
      <c r="P402" s="1030"/>
      <c r="Q402" s="216"/>
      <c r="R402" s="216"/>
      <c r="S402" s="1323" t="s">
        <v>6061</v>
      </c>
      <c r="T402" s="1323"/>
      <c r="U402" s="1323"/>
      <c r="V402" s="888"/>
      <c r="W402" s="888"/>
      <c r="X402" s="16">
        <f t="shared" si="88"/>
        <v>0</v>
      </c>
      <c r="Y402" s="16">
        <f t="shared" si="91"/>
        <v>0</v>
      </c>
    </row>
    <row r="403" spans="1:25" s="739" customFormat="1" ht="32.25" customHeight="1">
      <c r="B403" s="849" t="s">
        <v>6062</v>
      </c>
      <c r="C403" s="23"/>
      <c r="D403" s="380"/>
      <c r="E403" s="783"/>
      <c r="F403" s="22"/>
      <c r="G403" s="22"/>
      <c r="H403" s="22"/>
      <c r="I403" s="22"/>
      <c r="J403" s="22"/>
      <c r="K403" s="22"/>
      <c r="L403" s="22"/>
      <c r="M403" s="22"/>
      <c r="N403" s="22"/>
      <c r="O403" s="166"/>
      <c r="P403" s="151"/>
      <c r="Q403" s="216"/>
      <c r="R403" s="216"/>
      <c r="S403" s="1323" t="s">
        <v>6063</v>
      </c>
      <c r="T403" s="1323"/>
      <c r="U403" s="1323"/>
      <c r="V403" s="118"/>
      <c r="W403" s="118"/>
      <c r="X403" s="16">
        <f t="shared" si="88"/>
        <v>0</v>
      </c>
      <c r="Y403" s="16">
        <f t="shared" si="91"/>
        <v>0</v>
      </c>
    </row>
    <row r="404" spans="1:25" s="739" customFormat="1" ht="231" customHeight="1">
      <c r="B404" s="849" t="s">
        <v>6064</v>
      </c>
      <c r="C404" s="23"/>
      <c r="D404" s="380"/>
      <c r="E404" s="783"/>
      <c r="F404" s="22"/>
      <c r="G404" s="22"/>
      <c r="H404" s="22"/>
      <c r="I404" s="22"/>
      <c r="J404" s="22"/>
      <c r="K404" s="22"/>
      <c r="L404" s="22"/>
      <c r="M404" s="22"/>
      <c r="N404" s="22"/>
      <c r="O404" s="166"/>
      <c r="P404" s="1030"/>
      <c r="Q404" s="216"/>
      <c r="R404" s="216"/>
      <c r="S404" s="1323" t="s">
        <v>6065</v>
      </c>
      <c r="T404" s="1323"/>
      <c r="U404" s="1323"/>
      <c r="V404" s="888"/>
      <c r="W404" s="888"/>
      <c r="X404" s="16">
        <f t="shared" si="88"/>
        <v>0</v>
      </c>
      <c r="Y404" s="16">
        <f t="shared" si="91"/>
        <v>0</v>
      </c>
    </row>
    <row r="405" spans="1:25" s="739" customFormat="1" ht="15.95" customHeight="1">
      <c r="B405" s="21"/>
      <c r="C405" s="23"/>
      <c r="D405" s="380"/>
      <c r="E405" s="23"/>
      <c r="F405" s="22"/>
      <c r="G405" s="22"/>
      <c r="H405" s="22"/>
      <c r="I405" s="22"/>
      <c r="J405" s="22"/>
      <c r="K405" s="22"/>
      <c r="L405" s="22"/>
      <c r="M405" s="22"/>
      <c r="N405" s="22"/>
      <c r="O405" s="166"/>
      <c r="P405" s="1151"/>
      <c r="Q405" s="216"/>
      <c r="R405" s="216"/>
      <c r="S405" s="877"/>
      <c r="T405" s="877"/>
      <c r="U405" s="877"/>
      <c r="V405" s="38"/>
      <c r="X405" s="16">
        <f t="shared" si="88"/>
        <v>0</v>
      </c>
      <c r="Y405" s="16">
        <f t="shared" si="91"/>
        <v>0</v>
      </c>
    </row>
    <row r="406" spans="1:25" s="16" customFormat="1" ht="15.75" customHeight="1">
      <c r="A406" s="236"/>
      <c r="B406" s="470" t="s">
        <v>916</v>
      </c>
      <c r="C406" s="23"/>
      <c r="D406" s="380"/>
      <c r="E406" s="23"/>
      <c r="F406" s="22"/>
      <c r="G406" s="22"/>
      <c r="H406" s="22"/>
      <c r="I406" s="22"/>
      <c r="J406" s="35"/>
      <c r="K406" s="35"/>
      <c r="L406" s="35"/>
      <c r="M406" s="35"/>
      <c r="N406" s="22"/>
      <c r="O406" s="8"/>
      <c r="P406" s="179"/>
      <c r="Q406" s="438"/>
      <c r="R406" s="438"/>
      <c r="S406" s="932"/>
      <c r="T406" s="932"/>
      <c r="U406" s="932"/>
      <c r="V406" s="12" t="s">
        <v>917</v>
      </c>
      <c r="X406" s="16">
        <f t="shared" si="88"/>
        <v>0</v>
      </c>
      <c r="Y406" s="16">
        <f t="shared" si="91"/>
        <v>0</v>
      </c>
    </row>
    <row r="407" spans="1:25" s="39" customFormat="1" ht="29.25" customHeight="1">
      <c r="B407" s="841" t="s">
        <v>918</v>
      </c>
      <c r="C407" s="1137" t="s">
        <v>919</v>
      </c>
      <c r="D407" s="349">
        <v>41067</v>
      </c>
      <c r="E407" s="1138" t="s">
        <v>5159</v>
      </c>
      <c r="F407" s="12" t="s">
        <v>5158</v>
      </c>
      <c r="H407" s="117"/>
      <c r="I407" s="117"/>
      <c r="J407" s="117"/>
      <c r="K407" s="187"/>
      <c r="L407" s="117">
        <v>80000</v>
      </c>
      <c r="M407" s="117">
        <f>SUM(J407:L407)</f>
        <v>80000</v>
      </c>
      <c r="N407" s="8"/>
      <c r="O407" s="23"/>
      <c r="P407" s="165"/>
      <c r="Q407" s="216">
        <f>76191+790</f>
        <v>76981</v>
      </c>
      <c r="R407" s="216">
        <v>790</v>
      </c>
      <c r="S407" s="1324" t="s">
        <v>920</v>
      </c>
      <c r="T407" s="1324"/>
      <c r="U407" s="1324"/>
      <c r="V407" s="22"/>
      <c r="X407" s="16">
        <f t="shared" si="88"/>
        <v>80000</v>
      </c>
      <c r="Y407" s="16">
        <f t="shared" si="91"/>
        <v>0</v>
      </c>
    </row>
    <row r="408" spans="1:25" s="39" customFormat="1" ht="15.95" customHeight="1">
      <c r="B408" s="841"/>
      <c r="C408" s="13"/>
      <c r="D408" s="439"/>
      <c r="E408" s="1138"/>
      <c r="F408" s="12"/>
      <c r="G408" s="1137"/>
      <c r="H408" s="117"/>
      <c r="I408" s="117"/>
      <c r="J408" s="117"/>
      <c r="K408" s="14"/>
      <c r="L408" s="1136"/>
      <c r="M408" s="1136"/>
      <c r="N408" s="8"/>
      <c r="O408" s="23"/>
      <c r="P408" s="165"/>
      <c r="Q408" s="216"/>
      <c r="R408" s="216"/>
      <c r="S408" s="877"/>
      <c r="T408" s="877"/>
      <c r="U408" s="877"/>
      <c r="V408" s="22"/>
      <c r="X408" s="16">
        <f t="shared" si="88"/>
        <v>0</v>
      </c>
      <c r="Y408" s="16">
        <f t="shared" si="91"/>
        <v>0</v>
      </c>
    </row>
    <row r="409" spans="1:25" s="16" customFormat="1" ht="30">
      <c r="A409" s="236"/>
      <c r="B409" s="936" t="s">
        <v>921</v>
      </c>
      <c r="C409" s="348" t="s">
        <v>922</v>
      </c>
      <c r="D409" s="349">
        <v>40882</v>
      </c>
      <c r="E409" s="348" t="s">
        <v>4618</v>
      </c>
      <c r="F409" s="393" t="s">
        <v>4617</v>
      </c>
      <c r="G409" s="347"/>
      <c r="H409" s="93"/>
      <c r="I409" s="93"/>
      <c r="J409" s="187"/>
      <c r="K409" s="187">
        <v>200000</v>
      </c>
      <c r="L409" s="187"/>
      <c r="M409" s="187">
        <f>SUM(J409:L409)</f>
        <v>200000</v>
      </c>
      <c r="N409" s="10"/>
      <c r="O409" s="1136"/>
      <c r="P409" s="1137"/>
      <c r="Q409" s="93">
        <v>200000</v>
      </c>
      <c r="R409" s="93">
        <v>200000</v>
      </c>
      <c r="S409" s="1332" t="s">
        <v>6081</v>
      </c>
      <c r="T409" s="1332"/>
      <c r="U409" s="1332"/>
      <c r="V409" s="10"/>
      <c r="W409" s="14"/>
      <c r="X409" s="16">
        <f t="shared" si="88"/>
        <v>200000</v>
      </c>
      <c r="Y409" s="16">
        <f t="shared" si="91"/>
        <v>0</v>
      </c>
    </row>
    <row r="410" spans="1:25" s="16" customFormat="1" ht="15">
      <c r="A410" s="236"/>
      <c r="B410" s="850"/>
      <c r="C410" s="348"/>
      <c r="D410" s="349"/>
      <c r="E410" s="1126"/>
      <c r="F410" s="393"/>
      <c r="G410" s="347"/>
      <c r="H410" s="93"/>
      <c r="I410" s="93"/>
      <c r="J410" s="187"/>
      <c r="K410" s="187"/>
      <c r="L410" s="187"/>
      <c r="M410" s="187"/>
      <c r="N410" s="10"/>
      <c r="O410" s="1136"/>
      <c r="P410" s="1137"/>
      <c r="Q410" s="93"/>
      <c r="R410" s="93"/>
      <c r="S410" s="876"/>
      <c r="T410" s="876"/>
      <c r="U410" s="876"/>
      <c r="V410" s="10"/>
      <c r="W410" s="14"/>
      <c r="X410" s="16">
        <f t="shared" si="88"/>
        <v>0</v>
      </c>
      <c r="Y410" s="16">
        <f t="shared" si="91"/>
        <v>0</v>
      </c>
    </row>
    <row r="411" spans="1:25" s="39" customFormat="1" ht="15.95" customHeight="1">
      <c r="A411" s="1164" t="s">
        <v>4611</v>
      </c>
      <c r="B411" s="951" t="s">
        <v>923</v>
      </c>
      <c r="C411" s="13"/>
      <c r="D411" s="439"/>
      <c r="E411" s="1138"/>
      <c r="F411" s="12"/>
      <c r="G411" s="1137"/>
      <c r="H411" s="117"/>
      <c r="I411" s="381">
        <v>4500000</v>
      </c>
      <c r="J411" s="382">
        <f>SUM(J413:J414)</f>
        <v>0</v>
      </c>
      <c r="K411" s="382">
        <f t="shared" ref="K411:M411" si="92">SUM(K413:K414)</f>
        <v>0</v>
      </c>
      <c r="L411" s="382">
        <f t="shared" si="92"/>
        <v>0</v>
      </c>
      <c r="M411" s="382">
        <f t="shared" si="92"/>
        <v>0</v>
      </c>
      <c r="N411" s="8"/>
      <c r="O411" s="23"/>
      <c r="P411" s="165"/>
      <c r="Q411" s="382">
        <f t="shared" ref="Q411:R411" si="93">SUM(Q413:Q414)</f>
        <v>0</v>
      </c>
      <c r="R411" s="382">
        <f t="shared" si="93"/>
        <v>0</v>
      </c>
      <c r="S411" s="877"/>
      <c r="T411" s="877"/>
      <c r="U411" s="877"/>
      <c r="V411" s="22"/>
      <c r="X411" s="16">
        <f t="shared" si="88"/>
        <v>0</v>
      </c>
      <c r="Y411" s="16">
        <f t="shared" si="91"/>
        <v>0</v>
      </c>
    </row>
    <row r="412" spans="1:25" s="16" customFormat="1" ht="15">
      <c r="A412" s="236"/>
      <c r="B412" s="470" t="s">
        <v>924</v>
      </c>
      <c r="C412" s="166"/>
      <c r="D412" s="391"/>
      <c r="E412" s="23"/>
      <c r="F412" s="38"/>
      <c r="G412" s="38"/>
      <c r="H412" s="38"/>
      <c r="N412" s="38"/>
      <c r="O412" s="8"/>
      <c r="P412" s="179"/>
      <c r="Q412" s="438"/>
      <c r="R412" s="438"/>
      <c r="S412" s="932"/>
      <c r="T412" s="932"/>
      <c r="U412" s="932"/>
      <c r="V412" s="12" t="s">
        <v>917</v>
      </c>
      <c r="X412" s="16">
        <f t="shared" si="88"/>
        <v>0</v>
      </c>
      <c r="Y412" s="16">
        <f t="shared" si="91"/>
        <v>0</v>
      </c>
    </row>
    <row r="413" spans="1:25" s="16" customFormat="1" ht="30">
      <c r="A413" s="236"/>
      <c r="B413" s="841" t="s">
        <v>925</v>
      </c>
      <c r="C413" s="1137" t="s">
        <v>926</v>
      </c>
      <c r="D413" s="13">
        <v>40834</v>
      </c>
      <c r="E413" s="1138" t="s">
        <v>5161</v>
      </c>
      <c r="F413" s="12" t="s">
        <v>5160</v>
      </c>
      <c r="H413" s="117">
        <v>765400</v>
      </c>
      <c r="I413" s="117"/>
      <c r="J413" s="117"/>
      <c r="L413" s="14">
        <v>4500000</v>
      </c>
      <c r="M413" s="1136">
        <f>SUM(J413:L413)</f>
        <v>4500000</v>
      </c>
      <c r="N413" s="1370"/>
      <c r="O413" s="8"/>
      <c r="P413" s="179"/>
      <c r="Q413" s="438"/>
      <c r="R413" s="438"/>
      <c r="S413" s="932"/>
      <c r="T413" s="932"/>
      <c r="U413" s="932"/>
      <c r="V413" s="12" t="s">
        <v>917</v>
      </c>
      <c r="X413" s="16">
        <f t="shared" si="88"/>
        <v>4500000</v>
      </c>
      <c r="Y413" s="16">
        <f t="shared" si="91"/>
        <v>0</v>
      </c>
    </row>
    <row r="414" spans="1:25" s="16" customFormat="1" ht="30">
      <c r="A414" s="236"/>
      <c r="B414" s="841" t="s">
        <v>927</v>
      </c>
      <c r="C414" s="1137" t="s">
        <v>928</v>
      </c>
      <c r="D414" s="13">
        <v>41228</v>
      </c>
      <c r="E414" s="1138" t="s">
        <v>5161</v>
      </c>
      <c r="F414" s="12" t="s">
        <v>5160</v>
      </c>
      <c r="H414" s="117"/>
      <c r="I414" s="117"/>
      <c r="J414" s="117"/>
      <c r="L414" s="14">
        <v>-4500000</v>
      </c>
      <c r="M414" s="1136">
        <f>SUM(H414:L414)</f>
        <v>-4500000</v>
      </c>
      <c r="N414" s="1370"/>
      <c r="O414" s="8"/>
      <c r="P414" s="179"/>
      <c r="Q414" s="438"/>
      <c r="R414" s="438"/>
      <c r="S414" s="932"/>
      <c r="T414" s="932"/>
      <c r="U414" s="932"/>
      <c r="V414" s="12"/>
      <c r="X414" s="16">
        <f t="shared" si="88"/>
        <v>-4500000</v>
      </c>
      <c r="Y414" s="16">
        <f t="shared" si="91"/>
        <v>0</v>
      </c>
    </row>
    <row r="415" spans="1:25" s="9" customFormat="1" ht="15">
      <c r="A415" s="697"/>
      <c r="B415" s="841"/>
      <c r="C415" s="13"/>
      <c r="D415" s="440"/>
      <c r="E415" s="1138"/>
      <c r="F415" s="12"/>
      <c r="G415" s="1137"/>
      <c r="H415" s="117"/>
      <c r="I415" s="117"/>
      <c r="J415" s="117"/>
      <c r="K415" s="16"/>
      <c r="L415" s="14"/>
      <c r="M415" s="1136"/>
      <c r="N415" s="1130"/>
      <c r="O415" s="8"/>
      <c r="P415" s="8"/>
      <c r="Q415" s="438"/>
      <c r="R415" s="438"/>
      <c r="S415" s="932"/>
      <c r="T415" s="932"/>
      <c r="U415" s="932"/>
      <c r="V415" s="393"/>
      <c r="X415" s="16">
        <f t="shared" si="88"/>
        <v>0</v>
      </c>
      <c r="Y415" s="16">
        <f t="shared" ref="Y415:Y416" si="94">X415-M415</f>
        <v>0</v>
      </c>
    </row>
    <row r="416" spans="1:25" s="16" customFormat="1" ht="14.25" customHeight="1">
      <c r="A416" s="937" t="s">
        <v>4612</v>
      </c>
      <c r="B416" s="1125" t="s">
        <v>1100</v>
      </c>
      <c r="C416" s="13"/>
      <c r="D416" s="440"/>
      <c r="E416" s="1138"/>
      <c r="F416" s="12"/>
      <c r="G416" s="1137"/>
      <c r="H416" s="117"/>
      <c r="I416" s="441">
        <v>6500000</v>
      </c>
      <c r="J416" s="442" t="e">
        <f>J1520+J1546+J1556+J1566+J1575+J1578+J1682+J1685+J1689+J1705+J1873+J1883+J1887+J1917+J1943+J419+J2803</f>
        <v>#REF!</v>
      </c>
      <c r="K416" s="442" t="e">
        <f>K419</f>
        <v>#REF!</v>
      </c>
      <c r="L416" s="442" t="e">
        <f t="shared" ref="L416:N416" si="95">L419</f>
        <v>#REF!</v>
      </c>
      <c r="M416" s="442">
        <f>M419+M417+M1509</f>
        <v>6499100</v>
      </c>
      <c r="N416" s="442">
        <f t="shared" si="95"/>
        <v>0</v>
      </c>
      <c r="O416" s="166"/>
      <c r="P416" s="179"/>
      <c r="Q416" s="442">
        <f>Q419+Q417+Q1509</f>
        <v>6499100</v>
      </c>
      <c r="R416" s="442">
        <f>R419+R417+R1509</f>
        <v>5416760.8619999997</v>
      </c>
      <c r="S416" s="932"/>
      <c r="T416" s="932"/>
      <c r="U416" s="932"/>
      <c r="V416" s="12"/>
      <c r="X416" s="16" t="e">
        <f>SUM(J416:L416)</f>
        <v>#REF!</v>
      </c>
      <c r="Y416" s="16" t="e">
        <f t="shared" si="94"/>
        <v>#REF!</v>
      </c>
    </row>
    <row r="417" spans="1:25" s="739" customFormat="1" ht="15">
      <c r="B417" s="35" t="s">
        <v>165</v>
      </c>
      <c r="C417" s="77"/>
      <c r="D417" s="78"/>
      <c r="E417" s="182"/>
      <c r="F417" s="212"/>
      <c r="G417" s="1103"/>
      <c r="H417" s="105"/>
      <c r="I417" s="105"/>
      <c r="J417" s="79"/>
      <c r="K417" s="74"/>
      <c r="L417" s="74"/>
      <c r="M417" s="36">
        <f>M418+M1507</f>
        <v>500000</v>
      </c>
      <c r="N417" s="74"/>
      <c r="O417" s="166"/>
      <c r="P417" s="1151"/>
      <c r="Q417" s="36">
        <f>Q418+Q1507</f>
        <v>500000</v>
      </c>
      <c r="R417" s="36">
        <f>R418+R1507</f>
        <v>0</v>
      </c>
      <c r="S417" s="877"/>
      <c r="T417" s="877"/>
      <c r="U417" s="877"/>
      <c r="V417" s="38"/>
      <c r="X417" s="16"/>
      <c r="Y417" s="16"/>
    </row>
    <row r="418" spans="1:25" s="374" customFormat="1" ht="60">
      <c r="A418" s="24"/>
      <c r="B418" s="845" t="s">
        <v>867</v>
      </c>
      <c r="C418" s="19" t="s">
        <v>29</v>
      </c>
      <c r="D418" s="29">
        <v>40899</v>
      </c>
      <c r="E418" s="781" t="s">
        <v>4980</v>
      </c>
      <c r="F418" s="390" t="s">
        <v>4981</v>
      </c>
      <c r="G418" s="28"/>
      <c r="H418" s="10"/>
      <c r="I418" s="10"/>
      <c r="J418" s="14"/>
      <c r="K418" s="14"/>
      <c r="L418" s="14">
        <v>500000</v>
      </c>
      <c r="M418" s="22">
        <f>SUM(J418:L418)</f>
        <v>500000</v>
      </c>
      <c r="N418" s="203"/>
      <c r="O418" s="58"/>
      <c r="P418" s="772"/>
      <c r="Q418" s="93">
        <v>500000</v>
      </c>
      <c r="R418" s="93"/>
      <c r="S418" s="1343" t="s">
        <v>6155</v>
      </c>
      <c r="T418" s="1343"/>
      <c r="U418" s="1343"/>
      <c r="X418" s="16">
        <f>SUM(J418:L418)</f>
        <v>500000</v>
      </c>
      <c r="Y418" s="16">
        <f>X418-M418</f>
        <v>0</v>
      </c>
    </row>
    <row r="419" spans="1:25" s="739" customFormat="1" ht="15.95" customHeight="1">
      <c r="B419" s="35" t="s">
        <v>303</v>
      </c>
      <c r="C419" s="166"/>
      <c r="D419" s="391"/>
      <c r="E419" s="23"/>
      <c r="F419" s="38"/>
      <c r="G419" s="38"/>
      <c r="H419" s="38"/>
      <c r="I419" s="38"/>
      <c r="J419" s="36" t="e">
        <f>J420+#REF!</f>
        <v>#REF!</v>
      </c>
      <c r="K419" s="36" t="e">
        <f>K420+#REF!</f>
        <v>#REF!</v>
      </c>
      <c r="L419" s="36" t="e">
        <f>L420+#REF!</f>
        <v>#REF!</v>
      </c>
      <c r="M419" s="36">
        <f>M420</f>
        <v>5213100</v>
      </c>
      <c r="N419" s="38"/>
      <c r="O419" s="166"/>
      <c r="P419" s="1151"/>
      <c r="Q419" s="36">
        <f t="shared" ref="Q419:R419" si="96">Q420</f>
        <v>5213100</v>
      </c>
      <c r="R419" s="36">
        <f t="shared" si="96"/>
        <v>5147731.8619999997</v>
      </c>
      <c r="S419" s="877"/>
      <c r="T419" s="877"/>
      <c r="U419" s="877"/>
      <c r="V419" s="38"/>
      <c r="X419" s="16" t="e">
        <f>SUM(J419:L419)</f>
        <v>#REF!</v>
      </c>
      <c r="Y419" s="16" t="e">
        <f>X419-M419</f>
        <v>#REF!</v>
      </c>
    </row>
    <row r="420" spans="1:25" s="42" customFormat="1" ht="15">
      <c r="A420" s="740"/>
      <c r="B420" s="35" t="s">
        <v>1560</v>
      </c>
      <c r="C420" s="166"/>
      <c r="D420" s="391"/>
      <c r="E420" s="23"/>
      <c r="F420" s="38"/>
      <c r="G420" s="38"/>
      <c r="H420" s="38"/>
      <c r="I420" s="38"/>
      <c r="J420" s="392">
        <f>SUM(J421:J1504)</f>
        <v>0</v>
      </c>
      <c r="K420" s="392">
        <f>SUM(K421:K1504)</f>
        <v>5213100</v>
      </c>
      <c r="L420" s="392">
        <f>SUM(L421:L1504)</f>
        <v>0</v>
      </c>
      <c r="M420" s="392">
        <f>SUM(M421:M1504)</f>
        <v>5213100</v>
      </c>
      <c r="N420" s="38"/>
      <c r="O420" s="815"/>
      <c r="P420" s="164"/>
      <c r="Q420" s="392">
        <f>SUM(Q423:Q460)+SUM(Q463:Q579)+SUM(Q582:Q676)+SUM(Q679:Q855)+SUM(Q857:Q884)+SUM(Q886:Q901)+SUM(Q934:Q967)+SUM(Q970:Q1022)+Q1077+Q1154+SUM(Q1156:Q1187)+SUM(Q1190:Q1201)+Q1241+Q1304+SUM(Q1306:Q1392)+SUM(Q1437:Q1477)+Q1503+Q1504</f>
        <v>5213100</v>
      </c>
      <c r="R420" s="392">
        <f>SUM(R423:R460)+SUM(R463:R579)+SUM(R582:R676)+SUM(R679:R855)+SUM(R857:R884)+SUM(R886:R901)+SUM(R934:R967)+SUM(R970:R1022)+R1077+R1154+SUM(R1156:R1187)+SUM(R1190:R1201)+R1241+R1304+SUM(R1306:R1392)+SUM(R1437:R1477)+R1503+R1504</f>
        <v>5147731.8619999997</v>
      </c>
      <c r="S420" s="933"/>
      <c r="T420" s="933"/>
      <c r="U420" s="933"/>
      <c r="X420" s="16">
        <f>SUM(J420:L420)</f>
        <v>5213100</v>
      </c>
      <c r="Y420" s="16">
        <f>X420-M420</f>
        <v>0</v>
      </c>
    </row>
    <row r="421" spans="1:25" s="42" customFormat="1" ht="15" hidden="1">
      <c r="A421" s="740"/>
      <c r="B421" s="6"/>
      <c r="C421" s="372"/>
      <c r="D421" s="539"/>
      <c r="E421" s="1137"/>
      <c r="F421" s="537"/>
      <c r="G421" s="538"/>
      <c r="H421" s="187"/>
      <c r="I421" s="187"/>
      <c r="J421" s="231"/>
      <c r="K421" s="187"/>
      <c r="L421" s="233"/>
      <c r="M421" s="540"/>
      <c r="N421" s="187"/>
      <c r="O421" s="815"/>
      <c r="P421" s="164"/>
      <c r="Q421" s="351"/>
      <c r="R421" s="351"/>
      <c r="S421" s="933"/>
      <c r="T421" s="933"/>
      <c r="U421" s="933"/>
      <c r="X421" s="16">
        <f t="shared" ref="X421:X1392" si="97">SUM(J421:L421)</f>
        <v>0</v>
      </c>
      <c r="Y421" s="16">
        <f>X421-M421</f>
        <v>0</v>
      </c>
    </row>
    <row r="422" spans="1:25" s="42" customFormat="1" ht="15">
      <c r="A422" s="740"/>
      <c r="B422" s="446" t="s">
        <v>1628</v>
      </c>
      <c r="C422" s="164" t="s">
        <v>2001</v>
      </c>
      <c r="D422" s="444">
        <v>40876</v>
      </c>
      <c r="E422" s="647"/>
      <c r="F422" s="42" t="s">
        <v>315</v>
      </c>
      <c r="H422" s="283"/>
      <c r="I422" s="283"/>
      <c r="K422" s="283">
        <v>64300</v>
      </c>
      <c r="L422" s="283"/>
      <c r="M422" s="283">
        <f t="shared" ref="M422:M1504" si="98">SUM(K422:L422)</f>
        <v>64300</v>
      </c>
      <c r="N422" s="283"/>
      <c r="O422" s="815"/>
      <c r="P422" s="164" t="s">
        <v>104</v>
      </c>
      <c r="Q422" s="522">
        <f>SUM(Q423:Q460)</f>
        <v>64300</v>
      </c>
      <c r="R422" s="522">
        <f>SUM(R423:R460)</f>
        <v>64300</v>
      </c>
      <c r="S422" s="933"/>
      <c r="T422" s="933"/>
      <c r="U422" s="933"/>
      <c r="W422" s="42" t="s">
        <v>2002</v>
      </c>
      <c r="X422" s="16">
        <f t="shared" si="97"/>
        <v>64300</v>
      </c>
      <c r="Y422" s="16">
        <f>X422-M422</f>
        <v>0</v>
      </c>
    </row>
    <row r="423" spans="1:25" s="42" customFormat="1" ht="15">
      <c r="A423" s="740"/>
      <c r="B423" s="530" t="s">
        <v>2003</v>
      </c>
      <c r="C423" s="164"/>
      <c r="D423" s="444"/>
      <c r="E423" s="329"/>
      <c r="H423" s="283"/>
      <c r="I423" s="283"/>
      <c r="K423" s="283"/>
      <c r="L423" s="283"/>
      <c r="M423" s="283"/>
      <c r="N423" s="283"/>
      <c r="O423" s="815"/>
      <c r="P423" s="164"/>
      <c r="Q423" s="351">
        <v>10000</v>
      </c>
      <c r="R423" s="351">
        <v>10000</v>
      </c>
      <c r="S423" s="933"/>
      <c r="T423" s="933"/>
      <c r="U423" s="933"/>
      <c r="X423" s="16"/>
      <c r="Y423" s="16"/>
    </row>
    <row r="424" spans="1:25" s="42" customFormat="1" ht="15">
      <c r="A424" s="740"/>
      <c r="B424" s="530" t="s">
        <v>2004</v>
      </c>
      <c r="C424" s="164"/>
      <c r="D424" s="444"/>
      <c r="E424" s="329"/>
      <c r="H424" s="283"/>
      <c r="I424" s="283"/>
      <c r="K424" s="283"/>
      <c r="L424" s="283"/>
      <c r="M424" s="283"/>
      <c r="N424" s="283"/>
      <c r="O424" s="815"/>
      <c r="P424" s="164"/>
      <c r="Q424" s="351">
        <v>10000</v>
      </c>
      <c r="R424" s="351">
        <v>10000</v>
      </c>
      <c r="S424" s="933"/>
      <c r="T424" s="933"/>
      <c r="U424" s="933"/>
      <c r="X424" s="16"/>
      <c r="Y424" s="16"/>
    </row>
    <row r="425" spans="1:25" s="42" customFormat="1" ht="15">
      <c r="A425" s="740"/>
      <c r="B425" s="530" t="s">
        <v>2005</v>
      </c>
      <c r="C425" s="164"/>
      <c r="D425" s="444"/>
      <c r="E425" s="329"/>
      <c r="H425" s="283"/>
      <c r="I425" s="283"/>
      <c r="K425" s="283"/>
      <c r="L425" s="283"/>
      <c r="M425" s="283"/>
      <c r="N425" s="283"/>
      <c r="O425" s="815"/>
      <c r="P425" s="164"/>
      <c r="Q425" s="351">
        <v>700</v>
      </c>
      <c r="R425" s="351">
        <v>700</v>
      </c>
      <c r="S425" s="933"/>
      <c r="T425" s="933"/>
      <c r="U425" s="933"/>
      <c r="X425" s="16"/>
      <c r="Y425" s="16"/>
    </row>
    <row r="426" spans="1:25" s="42" customFormat="1" ht="15">
      <c r="A426" s="740"/>
      <c r="B426" s="530" t="s">
        <v>2006</v>
      </c>
      <c r="C426" s="164"/>
      <c r="D426" s="444"/>
      <c r="E426" s="329"/>
      <c r="H426" s="283"/>
      <c r="I426" s="283"/>
      <c r="K426" s="283"/>
      <c r="L426" s="283"/>
      <c r="M426" s="283"/>
      <c r="N426" s="283"/>
      <c r="O426" s="815"/>
      <c r="P426" s="164"/>
      <c r="Q426" s="351">
        <v>700</v>
      </c>
      <c r="R426" s="351">
        <v>700</v>
      </c>
      <c r="S426" s="933"/>
      <c r="T426" s="933"/>
      <c r="U426" s="933"/>
      <c r="X426" s="16"/>
      <c r="Y426" s="16"/>
    </row>
    <row r="427" spans="1:25" s="42" customFormat="1" ht="15">
      <c r="A427" s="740"/>
      <c r="B427" s="530" t="s">
        <v>2007</v>
      </c>
      <c r="C427" s="164"/>
      <c r="D427" s="444"/>
      <c r="E427" s="329"/>
      <c r="H427" s="283"/>
      <c r="I427" s="283"/>
      <c r="K427" s="283"/>
      <c r="L427" s="283"/>
      <c r="M427" s="283"/>
      <c r="N427" s="283"/>
      <c r="O427" s="815"/>
      <c r="P427" s="164"/>
      <c r="Q427" s="351">
        <v>700</v>
      </c>
      <c r="R427" s="351">
        <v>700</v>
      </c>
      <c r="S427" s="933"/>
      <c r="T427" s="933"/>
      <c r="U427" s="933"/>
      <c r="X427" s="16"/>
      <c r="Y427" s="16"/>
    </row>
    <row r="428" spans="1:25" s="42" customFormat="1" ht="30">
      <c r="A428" s="740"/>
      <c r="B428" s="530" t="s">
        <v>2008</v>
      </c>
      <c r="C428" s="164"/>
      <c r="D428" s="444"/>
      <c r="E428" s="329"/>
      <c r="H428" s="283"/>
      <c r="I428" s="283"/>
      <c r="K428" s="283"/>
      <c r="L428" s="283"/>
      <c r="M428" s="283"/>
      <c r="N428" s="283"/>
      <c r="O428" s="815"/>
      <c r="P428" s="164"/>
      <c r="Q428" s="351">
        <v>700</v>
      </c>
      <c r="R428" s="351">
        <v>700</v>
      </c>
      <c r="S428" s="933" t="s">
        <v>6222</v>
      </c>
      <c r="T428" s="933"/>
      <c r="U428" s="933"/>
      <c r="X428" s="16"/>
      <c r="Y428" s="16"/>
    </row>
    <row r="429" spans="1:25" s="42" customFormat="1" ht="15">
      <c r="A429" s="740"/>
      <c r="B429" s="530" t="s">
        <v>2009</v>
      </c>
      <c r="C429" s="164"/>
      <c r="D429" s="444"/>
      <c r="E429" s="329"/>
      <c r="H429" s="283"/>
      <c r="I429" s="283"/>
      <c r="K429" s="283"/>
      <c r="L429" s="283"/>
      <c r="M429" s="283"/>
      <c r="N429" s="283"/>
      <c r="O429" s="815"/>
      <c r="P429" s="164"/>
      <c r="Q429" s="351">
        <v>700</v>
      </c>
      <c r="R429" s="351">
        <v>700</v>
      </c>
      <c r="S429" s="933"/>
      <c r="T429" s="933"/>
      <c r="U429" s="933"/>
      <c r="X429" s="16"/>
      <c r="Y429" s="16"/>
    </row>
    <row r="430" spans="1:25" s="42" customFormat="1" ht="15">
      <c r="A430" s="740"/>
      <c r="B430" s="530" t="s">
        <v>2010</v>
      </c>
      <c r="C430" s="164"/>
      <c r="D430" s="444"/>
      <c r="E430" s="329"/>
      <c r="H430" s="283"/>
      <c r="I430" s="283"/>
      <c r="K430" s="283"/>
      <c r="L430" s="283"/>
      <c r="M430" s="283"/>
      <c r="N430" s="283"/>
      <c r="O430" s="815"/>
      <c r="P430" s="164"/>
      <c r="Q430" s="351">
        <v>600</v>
      </c>
      <c r="R430" s="351">
        <v>600</v>
      </c>
      <c r="S430" s="933"/>
      <c r="T430" s="933"/>
      <c r="U430" s="933"/>
      <c r="X430" s="16"/>
      <c r="Y430" s="16"/>
    </row>
    <row r="431" spans="1:25" s="42" customFormat="1" ht="15">
      <c r="A431" s="740"/>
      <c r="B431" s="530" t="s">
        <v>2011</v>
      </c>
      <c r="C431" s="164"/>
      <c r="D431" s="444"/>
      <c r="E431" s="329"/>
      <c r="H431" s="283"/>
      <c r="I431" s="283"/>
      <c r="K431" s="283"/>
      <c r="L431" s="283"/>
      <c r="M431" s="283"/>
      <c r="N431" s="283"/>
      <c r="O431" s="815"/>
      <c r="P431" s="164"/>
      <c r="Q431" s="351">
        <v>400</v>
      </c>
      <c r="R431" s="351">
        <v>400</v>
      </c>
      <c r="S431" s="933"/>
      <c r="T431" s="933"/>
      <c r="U431" s="933"/>
      <c r="X431" s="16"/>
      <c r="Y431" s="16"/>
    </row>
    <row r="432" spans="1:25" s="42" customFormat="1" ht="15">
      <c r="A432" s="740"/>
      <c r="B432" s="530" t="s">
        <v>2012</v>
      </c>
      <c r="C432" s="164"/>
      <c r="D432" s="444"/>
      <c r="E432" s="329"/>
      <c r="H432" s="283"/>
      <c r="I432" s="283"/>
      <c r="K432" s="283"/>
      <c r="L432" s="283"/>
      <c r="M432" s="283"/>
      <c r="N432" s="283"/>
      <c r="O432" s="815"/>
      <c r="P432" s="164"/>
      <c r="Q432" s="351">
        <v>700</v>
      </c>
      <c r="R432" s="351">
        <v>700</v>
      </c>
      <c r="S432" s="933"/>
      <c r="T432" s="933"/>
      <c r="U432" s="933"/>
      <c r="X432" s="16"/>
      <c r="Y432" s="16"/>
    </row>
    <row r="433" spans="1:25" s="42" customFormat="1" ht="15">
      <c r="A433" s="740"/>
      <c r="B433" s="530" t="s">
        <v>2013</v>
      </c>
      <c r="C433" s="164"/>
      <c r="D433" s="444"/>
      <c r="E433" s="329"/>
      <c r="H433" s="283"/>
      <c r="I433" s="283"/>
      <c r="K433" s="283"/>
      <c r="L433" s="283"/>
      <c r="M433" s="283"/>
      <c r="N433" s="283"/>
      <c r="O433" s="815"/>
      <c r="P433" s="164"/>
      <c r="Q433" s="351">
        <v>400</v>
      </c>
      <c r="R433" s="351">
        <v>400</v>
      </c>
      <c r="S433" s="933"/>
      <c r="T433" s="933"/>
      <c r="U433" s="933"/>
      <c r="X433" s="16"/>
      <c r="Y433" s="16"/>
    </row>
    <row r="434" spans="1:25" s="42" customFormat="1" ht="15">
      <c r="A434" s="740"/>
      <c r="B434" s="530" t="s">
        <v>2014</v>
      </c>
      <c r="C434" s="164"/>
      <c r="D434" s="444"/>
      <c r="E434" s="329"/>
      <c r="H434" s="283"/>
      <c r="I434" s="283"/>
      <c r="K434" s="283"/>
      <c r="L434" s="283"/>
      <c r="M434" s="283"/>
      <c r="N434" s="283"/>
      <c r="O434" s="815"/>
      <c r="P434" s="164"/>
      <c r="Q434" s="351">
        <v>800</v>
      </c>
      <c r="R434" s="351">
        <v>800</v>
      </c>
      <c r="S434" s="933"/>
      <c r="T434" s="933"/>
      <c r="U434" s="933"/>
      <c r="X434" s="16"/>
      <c r="Y434" s="16"/>
    </row>
    <row r="435" spans="1:25" s="42" customFormat="1" ht="15">
      <c r="A435" s="740"/>
      <c r="B435" s="530" t="s">
        <v>2015</v>
      </c>
      <c r="C435" s="164"/>
      <c r="D435" s="444"/>
      <c r="E435" s="329"/>
      <c r="H435" s="283"/>
      <c r="I435" s="283"/>
      <c r="K435" s="283"/>
      <c r="L435" s="283"/>
      <c r="M435" s="283"/>
      <c r="N435" s="283"/>
      <c r="O435" s="815"/>
      <c r="P435" s="164"/>
      <c r="Q435" s="351">
        <v>10000</v>
      </c>
      <c r="R435" s="351">
        <v>10000</v>
      </c>
      <c r="S435" s="933"/>
      <c r="T435" s="933"/>
      <c r="U435" s="933"/>
      <c r="X435" s="16"/>
      <c r="Y435" s="16"/>
    </row>
    <row r="436" spans="1:25" s="42" customFormat="1" ht="15">
      <c r="A436" s="740"/>
      <c r="B436" s="530" t="s">
        <v>2016</v>
      </c>
      <c r="C436" s="164"/>
      <c r="D436" s="444"/>
      <c r="E436" s="329"/>
      <c r="H436" s="283"/>
      <c r="I436" s="283"/>
      <c r="K436" s="283"/>
      <c r="L436" s="283"/>
      <c r="M436" s="283"/>
      <c r="N436" s="283"/>
      <c r="O436" s="815"/>
      <c r="P436" s="164"/>
      <c r="Q436" s="351">
        <v>1000</v>
      </c>
      <c r="R436" s="351">
        <v>1000</v>
      </c>
      <c r="S436" s="933"/>
      <c r="T436" s="933"/>
      <c r="U436" s="933"/>
      <c r="X436" s="16"/>
      <c r="Y436" s="16"/>
    </row>
    <row r="437" spans="1:25" s="42" customFormat="1" ht="15">
      <c r="A437" s="740"/>
      <c r="B437" s="530" t="s">
        <v>2017</v>
      </c>
      <c r="C437" s="164"/>
      <c r="D437" s="444"/>
      <c r="E437" s="329"/>
      <c r="H437" s="283"/>
      <c r="I437" s="283"/>
      <c r="K437" s="283"/>
      <c r="L437" s="283"/>
      <c r="M437" s="283"/>
      <c r="N437" s="283"/>
      <c r="O437" s="815"/>
      <c r="P437" s="164"/>
      <c r="Q437" s="351">
        <v>1000</v>
      </c>
      <c r="R437" s="351">
        <v>1000</v>
      </c>
      <c r="S437" s="933"/>
      <c r="T437" s="933"/>
      <c r="U437" s="933"/>
      <c r="X437" s="16"/>
      <c r="Y437" s="16"/>
    </row>
    <row r="438" spans="1:25" s="42" customFormat="1" ht="15">
      <c r="A438" s="740"/>
      <c r="B438" s="530" t="s">
        <v>2018</v>
      </c>
      <c r="C438" s="164"/>
      <c r="D438" s="444"/>
      <c r="E438" s="329"/>
      <c r="H438" s="283"/>
      <c r="I438" s="283"/>
      <c r="K438" s="283"/>
      <c r="L438" s="283"/>
      <c r="M438" s="283"/>
      <c r="N438" s="283"/>
      <c r="O438" s="815"/>
      <c r="P438" s="164"/>
      <c r="Q438" s="351">
        <v>800</v>
      </c>
      <c r="R438" s="351">
        <v>800</v>
      </c>
      <c r="S438" s="933"/>
      <c r="T438" s="933"/>
      <c r="U438" s="933"/>
      <c r="X438" s="16"/>
      <c r="Y438" s="16"/>
    </row>
    <row r="439" spans="1:25" s="42" customFormat="1" ht="15">
      <c r="A439" s="740"/>
      <c r="B439" s="530" t="s">
        <v>2019</v>
      </c>
      <c r="C439" s="164"/>
      <c r="D439" s="444"/>
      <c r="E439" s="329"/>
      <c r="H439" s="283"/>
      <c r="I439" s="283"/>
      <c r="K439" s="283"/>
      <c r="L439" s="283"/>
      <c r="M439" s="283"/>
      <c r="N439" s="283"/>
      <c r="O439" s="815"/>
      <c r="P439" s="164"/>
      <c r="Q439" s="351">
        <v>1000</v>
      </c>
      <c r="R439" s="351">
        <v>1000</v>
      </c>
      <c r="S439" s="933"/>
      <c r="T439" s="933"/>
      <c r="U439" s="933"/>
      <c r="X439" s="16"/>
      <c r="Y439" s="16"/>
    </row>
    <row r="440" spans="1:25" s="42" customFormat="1" ht="15">
      <c r="A440" s="740"/>
      <c r="B440" s="530" t="s">
        <v>2020</v>
      </c>
      <c r="C440" s="164"/>
      <c r="D440" s="444"/>
      <c r="E440" s="329"/>
      <c r="H440" s="283"/>
      <c r="I440" s="283"/>
      <c r="K440" s="283"/>
      <c r="L440" s="283"/>
      <c r="M440" s="283"/>
      <c r="N440" s="283"/>
      <c r="O440" s="815"/>
      <c r="P440" s="164"/>
      <c r="Q440" s="351">
        <v>600</v>
      </c>
      <c r="R440" s="351">
        <v>600</v>
      </c>
      <c r="S440" s="933"/>
      <c r="T440" s="933"/>
      <c r="U440" s="933"/>
      <c r="X440" s="16"/>
      <c r="Y440" s="16"/>
    </row>
    <row r="441" spans="1:25" s="42" customFormat="1" ht="15">
      <c r="A441" s="740"/>
      <c r="B441" s="530" t="s">
        <v>2021</v>
      </c>
      <c r="C441" s="164"/>
      <c r="D441" s="444"/>
      <c r="E441" s="329"/>
      <c r="H441" s="283"/>
      <c r="I441" s="283"/>
      <c r="K441" s="283"/>
      <c r="L441" s="283"/>
      <c r="M441" s="283"/>
      <c r="N441" s="283"/>
      <c r="O441" s="815"/>
      <c r="P441" s="164"/>
      <c r="Q441" s="351">
        <v>700</v>
      </c>
      <c r="R441" s="351">
        <v>700</v>
      </c>
      <c r="S441" s="933"/>
      <c r="T441" s="933"/>
      <c r="U441" s="933"/>
      <c r="X441" s="16"/>
      <c r="Y441" s="16"/>
    </row>
    <row r="442" spans="1:25" s="42" customFormat="1" ht="15">
      <c r="A442" s="740"/>
      <c r="B442" s="530" t="s">
        <v>2022</v>
      </c>
      <c r="C442" s="164"/>
      <c r="D442" s="444"/>
      <c r="E442" s="329"/>
      <c r="H442" s="283"/>
      <c r="I442" s="283"/>
      <c r="K442" s="283"/>
      <c r="L442" s="283"/>
      <c r="M442" s="283"/>
      <c r="N442" s="283"/>
      <c r="O442" s="815"/>
      <c r="P442" s="164"/>
      <c r="Q442" s="351">
        <v>900</v>
      </c>
      <c r="R442" s="351">
        <v>900</v>
      </c>
      <c r="S442" s="933"/>
      <c r="T442" s="933"/>
      <c r="U442" s="933"/>
      <c r="X442" s="16"/>
      <c r="Y442" s="16"/>
    </row>
    <row r="443" spans="1:25" s="42" customFormat="1" ht="15">
      <c r="A443" s="740"/>
      <c r="B443" s="530" t="s">
        <v>2023</v>
      </c>
      <c r="C443" s="164"/>
      <c r="D443" s="444"/>
      <c r="E443" s="329"/>
      <c r="H443" s="283"/>
      <c r="I443" s="283"/>
      <c r="K443" s="283"/>
      <c r="L443" s="283"/>
      <c r="M443" s="283"/>
      <c r="N443" s="283"/>
      <c r="O443" s="815"/>
      <c r="P443" s="164"/>
      <c r="Q443" s="351">
        <v>1000</v>
      </c>
      <c r="R443" s="351">
        <v>1000</v>
      </c>
      <c r="S443" s="933"/>
      <c r="T443" s="933"/>
      <c r="U443" s="933"/>
      <c r="X443" s="16"/>
      <c r="Y443" s="16"/>
    </row>
    <row r="444" spans="1:25" s="42" customFormat="1" ht="15">
      <c r="A444" s="740"/>
      <c r="B444" s="530" t="s">
        <v>411</v>
      </c>
      <c r="C444" s="164"/>
      <c r="D444" s="444"/>
      <c r="E444" s="329"/>
      <c r="H444" s="283"/>
      <c r="I444" s="283"/>
      <c r="K444" s="283"/>
      <c r="L444" s="283"/>
      <c r="M444" s="283"/>
      <c r="N444" s="283"/>
      <c r="O444" s="815"/>
      <c r="P444" s="164"/>
      <c r="Q444" s="351">
        <v>600</v>
      </c>
      <c r="R444" s="351">
        <v>600</v>
      </c>
      <c r="S444" s="933"/>
      <c r="T444" s="933"/>
      <c r="U444" s="933"/>
      <c r="X444" s="16"/>
      <c r="Y444" s="16"/>
    </row>
    <row r="445" spans="1:25" s="42" customFormat="1" ht="15">
      <c r="A445" s="740"/>
      <c r="B445" s="530" t="s">
        <v>2024</v>
      </c>
      <c r="C445" s="164"/>
      <c r="D445" s="444"/>
      <c r="E445" s="329"/>
      <c r="H445" s="283"/>
      <c r="I445" s="283"/>
      <c r="K445" s="283"/>
      <c r="L445" s="283"/>
      <c r="M445" s="283"/>
      <c r="N445" s="283"/>
      <c r="O445" s="815"/>
      <c r="P445" s="164"/>
      <c r="Q445" s="351">
        <v>10000</v>
      </c>
      <c r="R445" s="351">
        <v>10000</v>
      </c>
      <c r="S445" s="933"/>
      <c r="T445" s="933"/>
      <c r="U445" s="933"/>
      <c r="X445" s="16"/>
      <c r="Y445" s="16"/>
    </row>
    <row r="446" spans="1:25" s="42" customFormat="1" ht="15">
      <c r="A446" s="740"/>
      <c r="B446" s="530" t="s">
        <v>420</v>
      </c>
      <c r="C446" s="164"/>
      <c r="D446" s="444"/>
      <c r="E446" s="329"/>
      <c r="H446" s="283"/>
      <c r="I446" s="283"/>
      <c r="K446" s="283"/>
      <c r="L446" s="283"/>
      <c r="M446" s="283"/>
      <c r="N446" s="283"/>
      <c r="O446" s="815"/>
      <c r="P446" s="164"/>
      <c r="Q446" s="351">
        <v>1000</v>
      </c>
      <c r="R446" s="351">
        <v>1000</v>
      </c>
      <c r="S446" s="933"/>
      <c r="T446" s="933"/>
      <c r="U446" s="933"/>
      <c r="X446" s="16"/>
      <c r="Y446" s="16"/>
    </row>
    <row r="447" spans="1:25" s="42" customFormat="1" ht="15">
      <c r="A447" s="740"/>
      <c r="B447" s="530" t="s">
        <v>2025</v>
      </c>
      <c r="C447" s="164"/>
      <c r="D447" s="444"/>
      <c r="E447" s="329"/>
      <c r="H447" s="283"/>
      <c r="I447" s="283"/>
      <c r="K447" s="283"/>
      <c r="L447" s="283"/>
      <c r="M447" s="283"/>
      <c r="N447" s="283"/>
      <c r="O447" s="815"/>
      <c r="P447" s="164"/>
      <c r="Q447" s="351">
        <v>700</v>
      </c>
      <c r="R447" s="351">
        <v>700</v>
      </c>
      <c r="S447" s="933"/>
      <c r="T447" s="933"/>
      <c r="U447" s="933"/>
      <c r="X447" s="16"/>
      <c r="Y447" s="16"/>
    </row>
    <row r="448" spans="1:25" s="42" customFormat="1" ht="45">
      <c r="A448" s="740"/>
      <c r="B448" s="530" t="s">
        <v>2026</v>
      </c>
      <c r="C448" s="164"/>
      <c r="D448" s="444"/>
      <c r="E448" s="329"/>
      <c r="H448" s="283"/>
      <c r="I448" s="283"/>
      <c r="K448" s="283"/>
      <c r="L448" s="283"/>
      <c r="M448" s="283"/>
      <c r="N448" s="283"/>
      <c r="O448" s="815"/>
      <c r="P448" s="164"/>
      <c r="Q448" s="351">
        <v>600</v>
      </c>
      <c r="R448" s="351">
        <v>600</v>
      </c>
      <c r="S448" s="933" t="s">
        <v>6223</v>
      </c>
      <c r="T448" s="933"/>
      <c r="U448" s="933"/>
      <c r="X448" s="16"/>
      <c r="Y448" s="16"/>
    </row>
    <row r="449" spans="1:25" s="42" customFormat="1" ht="45">
      <c r="A449" s="740"/>
      <c r="B449" s="530" t="s">
        <v>2027</v>
      </c>
      <c r="C449" s="164"/>
      <c r="D449" s="444"/>
      <c r="E449" s="329"/>
      <c r="H449" s="283"/>
      <c r="I449" s="283"/>
      <c r="K449" s="283"/>
      <c r="L449" s="283"/>
      <c r="M449" s="283"/>
      <c r="N449" s="283"/>
      <c r="O449" s="815"/>
      <c r="P449" s="164"/>
      <c r="Q449" s="351">
        <v>1000</v>
      </c>
      <c r="R449" s="351">
        <v>1000</v>
      </c>
      <c r="S449" s="933" t="s">
        <v>6224</v>
      </c>
      <c r="T449" s="933"/>
      <c r="U449" s="933"/>
      <c r="X449" s="16"/>
      <c r="Y449" s="16"/>
    </row>
    <row r="450" spans="1:25" s="42" customFormat="1" ht="15">
      <c r="A450" s="740"/>
      <c r="B450" s="530" t="s">
        <v>2028</v>
      </c>
      <c r="C450" s="164"/>
      <c r="D450" s="444"/>
      <c r="E450" s="329"/>
      <c r="H450" s="283"/>
      <c r="I450" s="283"/>
      <c r="K450" s="283"/>
      <c r="L450" s="283"/>
      <c r="M450" s="283"/>
      <c r="N450" s="283"/>
      <c r="O450" s="815"/>
      <c r="P450" s="164"/>
      <c r="Q450" s="351">
        <v>400</v>
      </c>
      <c r="R450" s="351">
        <v>400</v>
      </c>
      <c r="S450" s="933"/>
      <c r="T450" s="933"/>
      <c r="U450" s="933"/>
      <c r="X450" s="16"/>
      <c r="Y450" s="16"/>
    </row>
    <row r="451" spans="1:25" s="42" customFormat="1" ht="15">
      <c r="A451" s="740"/>
      <c r="B451" s="530" t="s">
        <v>2029</v>
      </c>
      <c r="C451" s="164"/>
      <c r="D451" s="444"/>
      <c r="E451" s="329"/>
      <c r="H451" s="283"/>
      <c r="I451" s="283"/>
      <c r="K451" s="283"/>
      <c r="L451" s="283"/>
      <c r="M451" s="283"/>
      <c r="N451" s="283"/>
      <c r="O451" s="815"/>
      <c r="P451" s="164"/>
      <c r="Q451" s="351">
        <v>500</v>
      </c>
      <c r="R451" s="351">
        <v>500</v>
      </c>
      <c r="S451" s="933"/>
      <c r="T451" s="933"/>
      <c r="U451" s="933"/>
      <c r="X451" s="16"/>
      <c r="Y451" s="16"/>
    </row>
    <row r="452" spans="1:25" s="42" customFormat="1" ht="15">
      <c r="A452" s="740"/>
      <c r="B452" s="530" t="s">
        <v>2030</v>
      </c>
      <c r="C452" s="164"/>
      <c r="D452" s="444"/>
      <c r="E452" s="329"/>
      <c r="H452" s="283"/>
      <c r="I452" s="283"/>
      <c r="K452" s="283"/>
      <c r="L452" s="283"/>
      <c r="M452" s="283"/>
      <c r="N452" s="283"/>
      <c r="O452" s="815"/>
      <c r="P452" s="164"/>
      <c r="Q452" s="351">
        <v>600</v>
      </c>
      <c r="R452" s="351">
        <v>600</v>
      </c>
      <c r="S452" s="933"/>
      <c r="T452" s="933"/>
      <c r="U452" s="933"/>
      <c r="X452" s="16"/>
      <c r="Y452" s="16"/>
    </row>
    <row r="453" spans="1:25" s="42" customFormat="1" ht="15">
      <c r="A453" s="740"/>
      <c r="B453" s="530" t="s">
        <v>2031</v>
      </c>
      <c r="C453" s="164"/>
      <c r="D453" s="444"/>
      <c r="E453" s="329"/>
      <c r="H453" s="283"/>
      <c r="I453" s="283"/>
      <c r="K453" s="283"/>
      <c r="L453" s="283"/>
      <c r="M453" s="283"/>
      <c r="N453" s="283"/>
      <c r="O453" s="815"/>
      <c r="P453" s="164"/>
      <c r="Q453" s="351">
        <v>500</v>
      </c>
      <c r="R453" s="351">
        <v>500</v>
      </c>
      <c r="S453" s="933"/>
      <c r="T453" s="933"/>
      <c r="U453" s="933"/>
      <c r="X453" s="16"/>
      <c r="Y453" s="16"/>
    </row>
    <row r="454" spans="1:25" s="42" customFormat="1" ht="15">
      <c r="A454" s="740"/>
      <c r="B454" s="530" t="s">
        <v>2032</v>
      </c>
      <c r="C454" s="164"/>
      <c r="D454" s="444"/>
      <c r="E454" s="329"/>
      <c r="H454" s="283"/>
      <c r="I454" s="283"/>
      <c r="K454" s="283"/>
      <c r="L454" s="283"/>
      <c r="M454" s="283"/>
      <c r="N454" s="283"/>
      <c r="O454" s="815"/>
      <c r="P454" s="164"/>
      <c r="Q454" s="351">
        <v>400</v>
      </c>
      <c r="R454" s="351">
        <v>400</v>
      </c>
      <c r="S454" s="933"/>
      <c r="T454" s="933"/>
      <c r="U454" s="933"/>
      <c r="X454" s="16"/>
      <c r="Y454" s="16"/>
    </row>
    <row r="455" spans="1:25" s="42" customFormat="1" ht="90">
      <c r="A455" s="740"/>
      <c r="B455" s="530" t="s">
        <v>2033</v>
      </c>
      <c r="C455" s="164"/>
      <c r="D455" s="444"/>
      <c r="E455" s="329"/>
      <c r="H455" s="283"/>
      <c r="I455" s="283"/>
      <c r="K455" s="283"/>
      <c r="L455" s="283"/>
      <c r="M455" s="283"/>
      <c r="N455" s="283"/>
      <c r="O455" s="815"/>
      <c r="P455" s="164"/>
      <c r="Q455" s="351">
        <v>1000</v>
      </c>
      <c r="R455" s="351">
        <v>1000</v>
      </c>
      <c r="S455" s="933" t="s">
        <v>6225</v>
      </c>
      <c r="T455" s="933"/>
      <c r="U455" s="933"/>
      <c r="X455" s="16"/>
      <c r="Y455" s="16"/>
    </row>
    <row r="456" spans="1:25" s="42" customFormat="1" ht="15">
      <c r="A456" s="740"/>
      <c r="B456" s="530" t="s">
        <v>2034</v>
      </c>
      <c r="C456" s="164"/>
      <c r="D456" s="444"/>
      <c r="E456" s="329"/>
      <c r="H456" s="283"/>
      <c r="I456" s="283"/>
      <c r="K456" s="283"/>
      <c r="L456" s="283"/>
      <c r="M456" s="283"/>
      <c r="N456" s="283"/>
      <c r="O456" s="815"/>
      <c r="P456" s="164"/>
      <c r="Q456" s="351">
        <v>700</v>
      </c>
      <c r="R456" s="351">
        <v>700</v>
      </c>
      <c r="S456" s="933"/>
      <c r="T456" s="933"/>
      <c r="U456" s="933"/>
      <c r="X456" s="16"/>
      <c r="Y456" s="16"/>
    </row>
    <row r="457" spans="1:25" s="42" customFormat="1" ht="15">
      <c r="A457" s="740"/>
      <c r="B457" s="530" t="s">
        <v>305</v>
      </c>
      <c r="C457" s="164"/>
      <c r="D457" s="444"/>
      <c r="E457" s="329"/>
      <c r="H457" s="283"/>
      <c r="I457" s="283"/>
      <c r="K457" s="283"/>
      <c r="L457" s="283"/>
      <c r="M457" s="283"/>
      <c r="N457" s="283"/>
      <c r="O457" s="815"/>
      <c r="P457" s="164"/>
      <c r="Q457" s="351">
        <v>1000</v>
      </c>
      <c r="R457" s="351">
        <v>1000</v>
      </c>
      <c r="S457" s="933"/>
      <c r="T457" s="933"/>
      <c r="U457" s="933"/>
      <c r="X457" s="16"/>
      <c r="Y457" s="16"/>
    </row>
    <row r="458" spans="1:25" s="42" customFormat="1" ht="15">
      <c r="A458" s="740"/>
      <c r="B458" s="530" t="s">
        <v>2035</v>
      </c>
      <c r="C458" s="164"/>
      <c r="D458" s="444"/>
      <c r="E458" s="329"/>
      <c r="H458" s="283"/>
      <c r="I458" s="283"/>
      <c r="K458" s="283"/>
      <c r="L458" s="283"/>
      <c r="M458" s="283"/>
      <c r="N458" s="283"/>
      <c r="O458" s="815"/>
      <c r="P458" s="164"/>
      <c r="Q458" s="351">
        <v>700</v>
      </c>
      <c r="R458" s="351">
        <v>700</v>
      </c>
      <c r="S458" s="933"/>
      <c r="T458" s="933"/>
      <c r="U458" s="933"/>
      <c r="X458" s="16"/>
      <c r="Y458" s="16"/>
    </row>
    <row r="459" spans="1:25" s="42" customFormat="1" ht="15">
      <c r="A459" s="740"/>
      <c r="B459" s="530" t="s">
        <v>399</v>
      </c>
      <c r="C459" s="164"/>
      <c r="D459" s="444"/>
      <c r="E459" s="329"/>
      <c r="H459" s="283"/>
      <c r="I459" s="283"/>
      <c r="K459" s="283"/>
      <c r="L459" s="283"/>
      <c r="M459" s="283"/>
      <c r="N459" s="283"/>
      <c r="O459" s="815"/>
      <c r="P459" s="164"/>
      <c r="Q459" s="351">
        <v>500</v>
      </c>
      <c r="R459" s="351">
        <v>500</v>
      </c>
      <c r="S459" s="933"/>
      <c r="T459" s="933"/>
      <c r="U459" s="933"/>
      <c r="X459" s="16"/>
      <c r="Y459" s="16"/>
    </row>
    <row r="460" spans="1:25" s="42" customFormat="1" ht="15">
      <c r="A460" s="740"/>
      <c r="B460" s="530" t="s">
        <v>2036</v>
      </c>
      <c r="C460" s="164"/>
      <c r="D460" s="444"/>
      <c r="E460" s="329"/>
      <c r="H460" s="283"/>
      <c r="I460" s="283"/>
      <c r="K460" s="283"/>
      <c r="L460" s="283"/>
      <c r="M460" s="283"/>
      <c r="N460" s="283"/>
      <c r="O460" s="815"/>
      <c r="P460" s="164"/>
      <c r="Q460" s="351">
        <v>700</v>
      </c>
      <c r="R460" s="351">
        <v>700</v>
      </c>
      <c r="S460" s="933"/>
      <c r="T460" s="933"/>
      <c r="U460" s="933"/>
      <c r="X460" s="16"/>
      <c r="Y460" s="16"/>
    </row>
    <row r="461" spans="1:25" s="42" customFormat="1" ht="15">
      <c r="A461" s="740"/>
      <c r="B461" s="446"/>
      <c r="C461" s="164"/>
      <c r="D461" s="444"/>
      <c r="E461" s="647"/>
      <c r="H461" s="283"/>
      <c r="I461" s="283"/>
      <c r="K461" s="283"/>
      <c r="L461" s="283"/>
      <c r="M461" s="283"/>
      <c r="N461" s="283"/>
      <c r="O461" s="815"/>
      <c r="P461" s="164"/>
      <c r="Q461" s="351"/>
      <c r="R461" s="351"/>
      <c r="S461" s="933"/>
      <c r="T461" s="933"/>
      <c r="U461" s="933"/>
      <c r="X461" s="16"/>
      <c r="Y461" s="16"/>
    </row>
    <row r="462" spans="1:25" s="42" customFormat="1" ht="15">
      <c r="A462" s="740"/>
      <c r="B462" s="446" t="s">
        <v>1672</v>
      </c>
      <c r="C462" s="164" t="s">
        <v>2037</v>
      </c>
      <c r="D462" s="444">
        <v>40876</v>
      </c>
      <c r="E462" s="647"/>
      <c r="F462" s="42" t="s">
        <v>1960</v>
      </c>
      <c r="H462" s="283"/>
      <c r="I462" s="283"/>
      <c r="K462" s="283">
        <v>291300</v>
      </c>
      <c r="L462" s="283"/>
      <c r="M462" s="283">
        <f t="shared" si="98"/>
        <v>291300</v>
      </c>
      <c r="N462" s="283"/>
      <c r="O462" s="815"/>
      <c r="P462" s="164" t="s">
        <v>104</v>
      </c>
      <c r="Q462" s="522">
        <f>SUM(Q463:Q579)</f>
        <v>291300</v>
      </c>
      <c r="R462" s="522">
        <f>SUM(R463:R579)</f>
        <v>291300</v>
      </c>
      <c r="S462" s="1373"/>
      <c r="T462" s="1373"/>
      <c r="U462" s="1373"/>
      <c r="W462" s="42" t="s">
        <v>2002</v>
      </c>
      <c r="X462" s="16">
        <f t="shared" si="97"/>
        <v>291300</v>
      </c>
      <c r="Y462" s="16">
        <f>X462-M462</f>
        <v>0</v>
      </c>
    </row>
    <row r="463" spans="1:25" s="42" customFormat="1" ht="65.25" customHeight="1">
      <c r="A463" s="740"/>
      <c r="B463" s="917" t="s">
        <v>2038</v>
      </c>
      <c r="C463" s="164"/>
      <c r="D463" s="444"/>
      <c r="E463" s="784"/>
      <c r="H463" s="283"/>
      <c r="I463" s="283"/>
      <c r="K463" s="283"/>
      <c r="L463" s="283"/>
      <c r="M463" s="283"/>
      <c r="N463" s="283"/>
      <c r="O463" s="815"/>
      <c r="P463" s="164"/>
      <c r="Q463" s="93">
        <v>700</v>
      </c>
      <c r="R463" s="93">
        <v>700</v>
      </c>
      <c r="S463" s="1346" t="s">
        <v>4632</v>
      </c>
      <c r="T463" s="1346"/>
      <c r="U463" s="1346"/>
      <c r="X463" s="16"/>
      <c r="Y463" s="16"/>
    </row>
    <row r="464" spans="1:25" s="42" customFormat="1" ht="26.25" customHeight="1">
      <c r="A464" s="740"/>
      <c r="B464" s="917" t="s">
        <v>2039</v>
      </c>
      <c r="C464" s="164"/>
      <c r="D464" s="444"/>
      <c r="E464" s="784"/>
      <c r="H464" s="283"/>
      <c r="I464" s="283"/>
      <c r="K464" s="283"/>
      <c r="L464" s="283"/>
      <c r="M464" s="283"/>
      <c r="N464" s="283"/>
      <c r="O464" s="815"/>
      <c r="P464" s="164"/>
      <c r="Q464" s="93">
        <v>700</v>
      </c>
      <c r="R464" s="93">
        <v>700</v>
      </c>
      <c r="S464" s="1346" t="s">
        <v>4634</v>
      </c>
      <c r="T464" s="1346"/>
      <c r="U464" s="1346"/>
      <c r="X464" s="16"/>
      <c r="Y464" s="16"/>
    </row>
    <row r="465" spans="1:25" s="42" customFormat="1" ht="65.25" customHeight="1">
      <c r="A465" s="740"/>
      <c r="B465" s="917" t="s">
        <v>2040</v>
      </c>
      <c r="C465" s="164"/>
      <c r="D465" s="444"/>
      <c r="E465" s="784"/>
      <c r="H465" s="283"/>
      <c r="I465" s="283"/>
      <c r="K465" s="283"/>
      <c r="L465" s="283"/>
      <c r="M465" s="283"/>
      <c r="N465" s="283"/>
      <c r="O465" s="815"/>
      <c r="P465" s="164"/>
      <c r="Q465" s="93">
        <v>600</v>
      </c>
      <c r="R465" s="93">
        <v>600</v>
      </c>
      <c r="S465" s="1346" t="s">
        <v>4632</v>
      </c>
      <c r="T465" s="1346"/>
      <c r="U465" s="1346"/>
      <c r="X465" s="16"/>
      <c r="Y465" s="16"/>
    </row>
    <row r="466" spans="1:25" s="42" customFormat="1" ht="65.25" customHeight="1">
      <c r="A466" s="740"/>
      <c r="B466" s="917" t="s">
        <v>2041</v>
      </c>
      <c r="C466" s="164"/>
      <c r="D466" s="444"/>
      <c r="E466" s="784"/>
      <c r="H466" s="283"/>
      <c r="I466" s="283"/>
      <c r="K466" s="283"/>
      <c r="L466" s="283"/>
      <c r="M466" s="283"/>
      <c r="N466" s="283"/>
      <c r="O466" s="815"/>
      <c r="P466" s="164"/>
      <c r="Q466" s="93">
        <v>800</v>
      </c>
      <c r="R466" s="93">
        <v>800</v>
      </c>
      <c r="S466" s="1346" t="s">
        <v>4632</v>
      </c>
      <c r="T466" s="1346"/>
      <c r="U466" s="1346"/>
      <c r="X466" s="16"/>
      <c r="Y466" s="16"/>
    </row>
    <row r="467" spans="1:25" s="42" customFormat="1" ht="65.25" customHeight="1">
      <c r="A467" s="740"/>
      <c r="B467" s="917" t="s">
        <v>2042</v>
      </c>
      <c r="C467" s="164"/>
      <c r="D467" s="444"/>
      <c r="E467" s="784"/>
      <c r="H467" s="283"/>
      <c r="I467" s="283"/>
      <c r="K467" s="283"/>
      <c r="L467" s="283"/>
      <c r="M467" s="283"/>
      <c r="N467" s="283"/>
      <c r="O467" s="815"/>
      <c r="P467" s="164"/>
      <c r="Q467" s="93">
        <v>700</v>
      </c>
      <c r="R467" s="93">
        <v>700</v>
      </c>
      <c r="S467" s="1346" t="s">
        <v>4632</v>
      </c>
      <c r="T467" s="1346"/>
      <c r="U467" s="1346"/>
      <c r="X467" s="16"/>
      <c r="Y467" s="16"/>
    </row>
    <row r="468" spans="1:25" s="42" customFormat="1" ht="65.25" customHeight="1">
      <c r="A468" s="740"/>
      <c r="B468" s="917" t="s">
        <v>2043</v>
      </c>
      <c r="C468" s="164"/>
      <c r="D468" s="444"/>
      <c r="E468" s="784"/>
      <c r="H468" s="283"/>
      <c r="I468" s="283"/>
      <c r="K468" s="283"/>
      <c r="L468" s="283"/>
      <c r="M468" s="283"/>
      <c r="N468" s="283"/>
      <c r="O468" s="815"/>
      <c r="P468" s="164"/>
      <c r="Q468" s="93">
        <v>400</v>
      </c>
      <c r="R468" s="93">
        <v>400</v>
      </c>
      <c r="S468" s="1346" t="s">
        <v>4632</v>
      </c>
      <c r="T468" s="1346"/>
      <c r="U468" s="1346"/>
      <c r="X468" s="16"/>
      <c r="Y468" s="16"/>
    </row>
    <row r="469" spans="1:25" s="42" customFormat="1" ht="65.25" customHeight="1">
      <c r="A469" s="740"/>
      <c r="B469" s="917" t="s">
        <v>2044</v>
      </c>
      <c r="C469" s="164"/>
      <c r="D469" s="444"/>
      <c r="E469" s="784"/>
      <c r="H469" s="283"/>
      <c r="I469" s="283"/>
      <c r="K469" s="283"/>
      <c r="L469" s="283"/>
      <c r="M469" s="283"/>
      <c r="N469" s="283"/>
      <c r="O469" s="815"/>
      <c r="P469" s="164"/>
      <c r="Q469" s="93">
        <v>500</v>
      </c>
      <c r="R469" s="93">
        <v>500</v>
      </c>
      <c r="S469" s="1346" t="s">
        <v>4632</v>
      </c>
      <c r="T469" s="1346"/>
      <c r="U469" s="1346"/>
      <c r="X469" s="16"/>
      <c r="Y469" s="16"/>
    </row>
    <row r="470" spans="1:25" s="42" customFormat="1" ht="65.25" customHeight="1">
      <c r="A470" s="740"/>
      <c r="B470" s="917" t="s">
        <v>2045</v>
      </c>
      <c r="C470" s="164"/>
      <c r="D470" s="444"/>
      <c r="E470" s="784"/>
      <c r="H470" s="283"/>
      <c r="I470" s="283"/>
      <c r="K470" s="283"/>
      <c r="L470" s="283"/>
      <c r="M470" s="283"/>
      <c r="N470" s="283"/>
      <c r="O470" s="815"/>
      <c r="P470" s="164"/>
      <c r="Q470" s="93">
        <v>400</v>
      </c>
      <c r="R470" s="93">
        <v>400</v>
      </c>
      <c r="S470" s="1346" t="s">
        <v>4632</v>
      </c>
      <c r="T470" s="1346"/>
      <c r="U470" s="1346"/>
      <c r="X470" s="16"/>
      <c r="Y470" s="16"/>
    </row>
    <row r="471" spans="1:25" s="42" customFormat="1" ht="65.25" customHeight="1">
      <c r="A471" s="740"/>
      <c r="B471" s="917" t="s">
        <v>2046</v>
      </c>
      <c r="C471" s="164"/>
      <c r="D471" s="444"/>
      <c r="E471" s="784"/>
      <c r="H471" s="283"/>
      <c r="I471" s="283"/>
      <c r="K471" s="283"/>
      <c r="L471" s="283"/>
      <c r="M471" s="283"/>
      <c r="N471" s="283"/>
      <c r="O471" s="815"/>
      <c r="P471" s="164"/>
      <c r="Q471" s="93">
        <v>700</v>
      </c>
      <c r="R471" s="93">
        <v>700</v>
      </c>
      <c r="S471" s="1346" t="s">
        <v>4632</v>
      </c>
      <c r="T471" s="1346"/>
      <c r="U471" s="1346"/>
      <c r="X471" s="16"/>
      <c r="Y471" s="16"/>
    </row>
    <row r="472" spans="1:25" s="42" customFormat="1" ht="65.25" customHeight="1">
      <c r="A472" s="740"/>
      <c r="B472" s="917" t="s">
        <v>2047</v>
      </c>
      <c r="C472" s="164"/>
      <c r="D472" s="444"/>
      <c r="E472" s="784"/>
      <c r="H472" s="283"/>
      <c r="I472" s="283"/>
      <c r="K472" s="283"/>
      <c r="L472" s="283"/>
      <c r="M472" s="283"/>
      <c r="N472" s="283"/>
      <c r="O472" s="815"/>
      <c r="P472" s="164"/>
      <c r="Q472" s="93">
        <v>400</v>
      </c>
      <c r="R472" s="93">
        <v>400</v>
      </c>
      <c r="S472" s="1346" t="s">
        <v>4632</v>
      </c>
      <c r="T472" s="1346"/>
      <c r="U472" s="1346"/>
      <c r="X472" s="16"/>
      <c r="Y472" s="16"/>
    </row>
    <row r="473" spans="1:25" s="42" customFormat="1" ht="65.25" customHeight="1">
      <c r="A473" s="740"/>
      <c r="B473" s="917" t="s">
        <v>2048</v>
      </c>
      <c r="C473" s="164"/>
      <c r="D473" s="444"/>
      <c r="E473" s="784"/>
      <c r="H473" s="283"/>
      <c r="I473" s="283"/>
      <c r="K473" s="283"/>
      <c r="L473" s="283"/>
      <c r="M473" s="283"/>
      <c r="N473" s="283"/>
      <c r="O473" s="815"/>
      <c r="P473" s="164"/>
      <c r="Q473" s="93">
        <v>400</v>
      </c>
      <c r="R473" s="93">
        <v>400</v>
      </c>
      <c r="S473" s="1346" t="s">
        <v>4632</v>
      </c>
      <c r="T473" s="1346"/>
      <c r="U473" s="1346"/>
      <c r="X473" s="16"/>
      <c r="Y473" s="16"/>
    </row>
    <row r="474" spans="1:25" s="42" customFormat="1" ht="65.25" customHeight="1">
      <c r="A474" s="740"/>
      <c r="B474" s="917" t="s">
        <v>2049</v>
      </c>
      <c r="C474" s="164"/>
      <c r="D474" s="444"/>
      <c r="E474" s="784"/>
      <c r="H474" s="283"/>
      <c r="I474" s="283"/>
      <c r="K474" s="283"/>
      <c r="L474" s="283"/>
      <c r="M474" s="283"/>
      <c r="N474" s="283"/>
      <c r="O474" s="815"/>
      <c r="P474" s="164"/>
      <c r="Q474" s="93">
        <v>300</v>
      </c>
      <c r="R474" s="93">
        <v>300</v>
      </c>
      <c r="S474" s="1346" t="s">
        <v>4632</v>
      </c>
      <c r="T474" s="1346"/>
      <c r="U474" s="1346"/>
      <c r="X474" s="16"/>
      <c r="Y474" s="16"/>
    </row>
    <row r="475" spans="1:25" s="42" customFormat="1" ht="65.25" customHeight="1">
      <c r="A475" s="740"/>
      <c r="B475" s="917" t="s">
        <v>2050</v>
      </c>
      <c r="C475" s="164"/>
      <c r="D475" s="444"/>
      <c r="E475" s="784"/>
      <c r="H475" s="283"/>
      <c r="I475" s="283"/>
      <c r="K475" s="283"/>
      <c r="L475" s="283"/>
      <c r="M475" s="283"/>
      <c r="N475" s="283"/>
      <c r="O475" s="815"/>
      <c r="P475" s="164"/>
      <c r="Q475" s="93">
        <v>600</v>
      </c>
      <c r="R475" s="93">
        <v>600</v>
      </c>
      <c r="S475" s="1346" t="s">
        <v>4632</v>
      </c>
      <c r="T475" s="1346"/>
      <c r="U475" s="1346"/>
      <c r="X475" s="16"/>
      <c r="Y475" s="16"/>
    </row>
    <row r="476" spans="1:25" s="42" customFormat="1" ht="65.25" customHeight="1">
      <c r="A476" s="740"/>
      <c r="B476" s="917" t="s">
        <v>2051</v>
      </c>
      <c r="C476" s="164"/>
      <c r="D476" s="444"/>
      <c r="E476" s="784"/>
      <c r="H476" s="283"/>
      <c r="I476" s="283"/>
      <c r="K476" s="283"/>
      <c r="L476" s="283"/>
      <c r="M476" s="283"/>
      <c r="N476" s="283"/>
      <c r="O476" s="815"/>
      <c r="P476" s="164"/>
      <c r="Q476" s="93">
        <v>500</v>
      </c>
      <c r="R476" s="93">
        <v>500</v>
      </c>
      <c r="S476" s="1346" t="s">
        <v>4632</v>
      </c>
      <c r="T476" s="1346"/>
      <c r="U476" s="1346"/>
      <c r="X476" s="16"/>
      <c r="Y476" s="16"/>
    </row>
    <row r="477" spans="1:25" s="42" customFormat="1" ht="65.25" customHeight="1">
      <c r="A477" s="740"/>
      <c r="B477" s="917" t="s">
        <v>2052</v>
      </c>
      <c r="C477" s="164"/>
      <c r="D477" s="444"/>
      <c r="E477" s="784"/>
      <c r="H477" s="283"/>
      <c r="I477" s="283"/>
      <c r="K477" s="283"/>
      <c r="L477" s="283"/>
      <c r="M477" s="283"/>
      <c r="N477" s="283"/>
      <c r="O477" s="815"/>
      <c r="P477" s="164"/>
      <c r="Q477" s="93">
        <v>500</v>
      </c>
      <c r="R477" s="93">
        <v>500</v>
      </c>
      <c r="S477" s="1346" t="s">
        <v>4632</v>
      </c>
      <c r="T477" s="1346"/>
      <c r="U477" s="1346"/>
      <c r="X477" s="16"/>
      <c r="Y477" s="16"/>
    </row>
    <row r="478" spans="1:25" s="42" customFormat="1" ht="65.25" customHeight="1">
      <c r="A478" s="740"/>
      <c r="B478" s="917" t="s">
        <v>2053</v>
      </c>
      <c r="C478" s="164"/>
      <c r="D478" s="444"/>
      <c r="E478" s="784"/>
      <c r="H478" s="283"/>
      <c r="I478" s="283"/>
      <c r="K478" s="283"/>
      <c r="L478" s="283"/>
      <c r="M478" s="283"/>
      <c r="N478" s="283"/>
      <c r="O478" s="815"/>
      <c r="P478" s="164"/>
      <c r="Q478" s="93">
        <v>800</v>
      </c>
      <c r="R478" s="93">
        <v>800</v>
      </c>
      <c r="S478" s="1346" t="s">
        <v>4632</v>
      </c>
      <c r="T478" s="1346"/>
      <c r="U478" s="1346"/>
      <c r="X478" s="16"/>
      <c r="Y478" s="16"/>
    </row>
    <row r="479" spans="1:25" s="42" customFormat="1" ht="65.25" customHeight="1">
      <c r="A479" s="740"/>
      <c r="B479" s="917" t="s">
        <v>2054</v>
      </c>
      <c r="C479" s="164"/>
      <c r="D479" s="444"/>
      <c r="E479" s="784"/>
      <c r="H479" s="283"/>
      <c r="I479" s="283"/>
      <c r="K479" s="283"/>
      <c r="L479" s="283"/>
      <c r="M479" s="283"/>
      <c r="N479" s="283"/>
      <c r="O479" s="815"/>
      <c r="P479" s="164"/>
      <c r="Q479" s="93">
        <v>600</v>
      </c>
      <c r="R479" s="93">
        <v>600</v>
      </c>
      <c r="S479" s="1346" t="s">
        <v>4632</v>
      </c>
      <c r="T479" s="1346"/>
      <c r="U479" s="1346"/>
      <c r="X479" s="16"/>
      <c r="Y479" s="16"/>
    </row>
    <row r="480" spans="1:25" s="42" customFormat="1" ht="65.25" customHeight="1">
      <c r="A480" s="740"/>
      <c r="B480" s="917" t="s">
        <v>2055</v>
      </c>
      <c r="C480" s="164"/>
      <c r="D480" s="444"/>
      <c r="E480" s="784"/>
      <c r="H480" s="283"/>
      <c r="I480" s="283"/>
      <c r="K480" s="283"/>
      <c r="L480" s="283"/>
      <c r="M480" s="283"/>
      <c r="N480" s="283"/>
      <c r="O480" s="815"/>
      <c r="P480" s="164"/>
      <c r="Q480" s="93">
        <v>500</v>
      </c>
      <c r="R480" s="93">
        <v>500</v>
      </c>
      <c r="S480" s="1346" t="s">
        <v>4632</v>
      </c>
      <c r="T480" s="1346"/>
      <c r="U480" s="1346"/>
      <c r="X480" s="16"/>
      <c r="Y480" s="16"/>
    </row>
    <row r="481" spans="1:25" s="42" customFormat="1" ht="65.25" customHeight="1">
      <c r="A481" s="740"/>
      <c r="B481" s="917" t="s">
        <v>2056</v>
      </c>
      <c r="C481" s="164"/>
      <c r="D481" s="444"/>
      <c r="E481" s="784"/>
      <c r="H481" s="283"/>
      <c r="I481" s="283"/>
      <c r="K481" s="283"/>
      <c r="L481" s="283"/>
      <c r="M481" s="283"/>
      <c r="N481" s="283"/>
      <c r="O481" s="815"/>
      <c r="P481" s="164"/>
      <c r="Q481" s="93">
        <v>400</v>
      </c>
      <c r="R481" s="93">
        <v>400</v>
      </c>
      <c r="S481" s="1346" t="s">
        <v>4632</v>
      </c>
      <c r="T481" s="1346"/>
      <c r="U481" s="1346"/>
      <c r="X481" s="16"/>
      <c r="Y481" s="16"/>
    </row>
    <row r="482" spans="1:25" s="42" customFormat="1" ht="65.25" customHeight="1">
      <c r="A482" s="740"/>
      <c r="B482" s="917" t="s">
        <v>2057</v>
      </c>
      <c r="C482" s="164"/>
      <c r="D482" s="444"/>
      <c r="E482" s="784"/>
      <c r="H482" s="283"/>
      <c r="I482" s="283"/>
      <c r="K482" s="283"/>
      <c r="L482" s="283"/>
      <c r="M482" s="283"/>
      <c r="N482" s="283"/>
      <c r="O482" s="815"/>
      <c r="P482" s="164"/>
      <c r="Q482" s="93">
        <v>400</v>
      </c>
      <c r="R482" s="93">
        <v>400</v>
      </c>
      <c r="S482" s="1346" t="s">
        <v>4632</v>
      </c>
      <c r="T482" s="1346"/>
      <c r="U482" s="1346"/>
      <c r="X482" s="16"/>
      <c r="Y482" s="16"/>
    </row>
    <row r="483" spans="1:25" s="42" customFormat="1" ht="64.5" customHeight="1">
      <c r="A483" s="740"/>
      <c r="B483" s="917" t="s">
        <v>2058</v>
      </c>
      <c r="C483" s="164"/>
      <c r="D483" s="444"/>
      <c r="E483" s="784"/>
      <c r="H483" s="283"/>
      <c r="I483" s="283"/>
      <c r="K483" s="283"/>
      <c r="L483" s="283"/>
      <c r="M483" s="283"/>
      <c r="N483" s="283"/>
      <c r="O483" s="815"/>
      <c r="P483" s="164"/>
      <c r="Q483" s="93">
        <v>500</v>
      </c>
      <c r="R483" s="93">
        <v>500</v>
      </c>
      <c r="S483" s="1346" t="s">
        <v>4635</v>
      </c>
      <c r="T483" s="1346"/>
      <c r="U483" s="1346"/>
      <c r="X483" s="16"/>
      <c r="Y483" s="16"/>
    </row>
    <row r="484" spans="1:25" s="42" customFormat="1" ht="38.25" customHeight="1">
      <c r="A484" s="740"/>
      <c r="B484" s="917" t="s">
        <v>2059</v>
      </c>
      <c r="C484" s="164"/>
      <c r="D484" s="444"/>
      <c r="E484" s="784"/>
      <c r="H484" s="283"/>
      <c r="I484" s="283"/>
      <c r="K484" s="283"/>
      <c r="L484" s="283"/>
      <c r="M484" s="283"/>
      <c r="N484" s="283"/>
      <c r="O484" s="815"/>
      <c r="P484" s="164"/>
      <c r="Q484" s="93">
        <v>800</v>
      </c>
      <c r="R484" s="93">
        <v>800</v>
      </c>
      <c r="S484" s="1346" t="s">
        <v>4636</v>
      </c>
      <c r="T484" s="1346"/>
      <c r="U484" s="1346"/>
      <c r="X484" s="16"/>
      <c r="Y484" s="16"/>
    </row>
    <row r="485" spans="1:25" s="42" customFormat="1" ht="65.25" customHeight="1">
      <c r="A485" s="740"/>
      <c r="B485" s="917" t="s">
        <v>2060</v>
      </c>
      <c r="C485" s="164"/>
      <c r="D485" s="444"/>
      <c r="E485" s="784"/>
      <c r="H485" s="283"/>
      <c r="I485" s="283"/>
      <c r="K485" s="283"/>
      <c r="L485" s="283"/>
      <c r="M485" s="283"/>
      <c r="N485" s="283"/>
      <c r="O485" s="815"/>
      <c r="P485" s="164"/>
      <c r="Q485" s="93">
        <v>15000</v>
      </c>
      <c r="R485" s="93">
        <v>15000</v>
      </c>
      <c r="S485" s="1346" t="s">
        <v>4632</v>
      </c>
      <c r="T485" s="1346"/>
      <c r="U485" s="1346"/>
      <c r="X485" s="16"/>
      <c r="Y485" s="16"/>
    </row>
    <row r="486" spans="1:25" s="42" customFormat="1" ht="65.25" customHeight="1">
      <c r="A486" s="740"/>
      <c r="B486" s="917" t="s">
        <v>2061</v>
      </c>
      <c r="C486" s="164"/>
      <c r="D486" s="444"/>
      <c r="E486" s="784"/>
      <c r="H486" s="283"/>
      <c r="I486" s="283"/>
      <c r="K486" s="283"/>
      <c r="L486" s="283"/>
      <c r="M486" s="283"/>
      <c r="N486" s="283"/>
      <c r="O486" s="815"/>
      <c r="P486" s="164"/>
      <c r="Q486" s="93">
        <v>400</v>
      </c>
      <c r="R486" s="93">
        <v>400</v>
      </c>
      <c r="S486" s="1346" t="s">
        <v>4632</v>
      </c>
      <c r="T486" s="1346"/>
      <c r="U486" s="1346"/>
      <c r="X486" s="16"/>
      <c r="Y486" s="16"/>
    </row>
    <row r="487" spans="1:25" s="42" customFormat="1" ht="65.25" customHeight="1">
      <c r="A487" s="740"/>
      <c r="B487" s="917" t="s">
        <v>2062</v>
      </c>
      <c r="C487" s="164"/>
      <c r="D487" s="444"/>
      <c r="E487" s="784"/>
      <c r="H487" s="283"/>
      <c r="I487" s="283"/>
      <c r="K487" s="283"/>
      <c r="L487" s="283"/>
      <c r="M487" s="283"/>
      <c r="N487" s="283"/>
      <c r="O487" s="815"/>
      <c r="P487" s="164"/>
      <c r="Q487" s="93">
        <v>400</v>
      </c>
      <c r="R487" s="93">
        <v>400</v>
      </c>
      <c r="S487" s="1346" t="s">
        <v>4632</v>
      </c>
      <c r="T487" s="1346"/>
      <c r="U487" s="1346"/>
      <c r="X487" s="16"/>
      <c r="Y487" s="16"/>
    </row>
    <row r="488" spans="1:25" s="42" customFormat="1" ht="65.25" customHeight="1">
      <c r="A488" s="740"/>
      <c r="B488" s="917" t="s">
        <v>2063</v>
      </c>
      <c r="C488" s="164"/>
      <c r="D488" s="444"/>
      <c r="E488" s="784"/>
      <c r="H488" s="283"/>
      <c r="I488" s="283"/>
      <c r="K488" s="283"/>
      <c r="L488" s="283"/>
      <c r="M488" s="283"/>
      <c r="N488" s="283"/>
      <c r="O488" s="815"/>
      <c r="P488" s="164"/>
      <c r="Q488" s="93">
        <v>900</v>
      </c>
      <c r="R488" s="93">
        <v>900</v>
      </c>
      <c r="S488" s="1346" t="s">
        <v>4632</v>
      </c>
      <c r="T488" s="1346"/>
      <c r="U488" s="1346"/>
      <c r="X488" s="16"/>
      <c r="Y488" s="16"/>
    </row>
    <row r="489" spans="1:25" s="42" customFormat="1" ht="65.25" customHeight="1">
      <c r="A489" s="740"/>
      <c r="B489" s="917" t="s">
        <v>2064</v>
      </c>
      <c r="C489" s="164"/>
      <c r="D489" s="444"/>
      <c r="E489" s="784"/>
      <c r="H489" s="283"/>
      <c r="I489" s="283"/>
      <c r="K489" s="283"/>
      <c r="L489" s="283"/>
      <c r="M489" s="283"/>
      <c r="N489" s="283"/>
      <c r="O489" s="815"/>
      <c r="P489" s="164"/>
      <c r="Q489" s="93">
        <v>400</v>
      </c>
      <c r="R489" s="93">
        <v>400</v>
      </c>
      <c r="S489" s="1346" t="s">
        <v>4632</v>
      </c>
      <c r="T489" s="1346"/>
      <c r="U489" s="1346"/>
      <c r="X489" s="16"/>
      <c r="Y489" s="16"/>
    </row>
    <row r="490" spans="1:25" s="42" customFormat="1" ht="65.25" customHeight="1">
      <c r="A490" s="740"/>
      <c r="B490" s="917" t="s">
        <v>2065</v>
      </c>
      <c r="C490" s="164"/>
      <c r="D490" s="444"/>
      <c r="E490" s="784"/>
      <c r="H490" s="283"/>
      <c r="I490" s="283"/>
      <c r="K490" s="283"/>
      <c r="L490" s="283"/>
      <c r="M490" s="283"/>
      <c r="N490" s="283"/>
      <c r="O490" s="815"/>
      <c r="P490" s="164"/>
      <c r="Q490" s="93">
        <v>500</v>
      </c>
      <c r="R490" s="93">
        <v>500</v>
      </c>
      <c r="S490" s="1346" t="s">
        <v>4632</v>
      </c>
      <c r="T490" s="1346"/>
      <c r="U490" s="1346"/>
      <c r="X490" s="16"/>
      <c r="Y490" s="16"/>
    </row>
    <row r="491" spans="1:25" s="42" customFormat="1" ht="65.25" customHeight="1">
      <c r="A491" s="740"/>
      <c r="B491" s="917" t="s">
        <v>2066</v>
      </c>
      <c r="C491" s="164"/>
      <c r="D491" s="444"/>
      <c r="E491" s="784"/>
      <c r="H491" s="283"/>
      <c r="I491" s="283"/>
      <c r="K491" s="283"/>
      <c r="L491" s="283"/>
      <c r="M491" s="283"/>
      <c r="N491" s="283"/>
      <c r="O491" s="815"/>
      <c r="P491" s="164"/>
      <c r="Q491" s="93">
        <v>600</v>
      </c>
      <c r="R491" s="93">
        <v>600</v>
      </c>
      <c r="S491" s="1346" t="s">
        <v>4632</v>
      </c>
      <c r="T491" s="1346"/>
      <c r="U491" s="1346"/>
      <c r="X491" s="16"/>
      <c r="Y491" s="16"/>
    </row>
    <row r="492" spans="1:25" s="42" customFormat="1" ht="65.25" customHeight="1">
      <c r="A492" s="740"/>
      <c r="B492" s="917" t="s">
        <v>2067</v>
      </c>
      <c r="C492" s="164"/>
      <c r="D492" s="444"/>
      <c r="E492" s="784"/>
      <c r="H492" s="283"/>
      <c r="I492" s="283"/>
      <c r="K492" s="283"/>
      <c r="L492" s="283"/>
      <c r="M492" s="283"/>
      <c r="N492" s="283"/>
      <c r="O492" s="815"/>
      <c r="P492" s="164"/>
      <c r="Q492" s="93">
        <v>700</v>
      </c>
      <c r="R492" s="93">
        <v>700</v>
      </c>
      <c r="S492" s="1346" t="s">
        <v>4632</v>
      </c>
      <c r="T492" s="1346"/>
      <c r="U492" s="1346"/>
      <c r="X492" s="16"/>
      <c r="Y492" s="16"/>
    </row>
    <row r="493" spans="1:25" s="42" customFormat="1" ht="65.25" customHeight="1">
      <c r="A493" s="740"/>
      <c r="B493" s="917" t="s">
        <v>2068</v>
      </c>
      <c r="C493" s="164"/>
      <c r="D493" s="444"/>
      <c r="E493" s="784"/>
      <c r="H493" s="283"/>
      <c r="I493" s="283"/>
      <c r="K493" s="283"/>
      <c r="L493" s="283"/>
      <c r="M493" s="283"/>
      <c r="N493" s="283"/>
      <c r="O493" s="815"/>
      <c r="P493" s="164"/>
      <c r="Q493" s="93">
        <v>800</v>
      </c>
      <c r="R493" s="93">
        <v>800</v>
      </c>
      <c r="S493" s="1346" t="s">
        <v>4632</v>
      </c>
      <c r="T493" s="1346"/>
      <c r="U493" s="1346"/>
      <c r="X493" s="16"/>
      <c r="Y493" s="16"/>
    </row>
    <row r="494" spans="1:25" s="42" customFormat="1" ht="65.25" customHeight="1">
      <c r="A494" s="740"/>
      <c r="B494" s="917" t="s">
        <v>2069</v>
      </c>
      <c r="C494" s="164"/>
      <c r="D494" s="444"/>
      <c r="E494" s="784"/>
      <c r="H494" s="283"/>
      <c r="I494" s="283"/>
      <c r="K494" s="283"/>
      <c r="L494" s="283"/>
      <c r="M494" s="283"/>
      <c r="N494" s="283"/>
      <c r="O494" s="815"/>
      <c r="P494" s="164"/>
      <c r="Q494" s="93">
        <v>500</v>
      </c>
      <c r="R494" s="93">
        <v>500</v>
      </c>
      <c r="S494" s="1346" t="s">
        <v>4632</v>
      </c>
      <c r="T494" s="1346"/>
      <c r="U494" s="1346"/>
      <c r="X494" s="16"/>
      <c r="Y494" s="16"/>
    </row>
    <row r="495" spans="1:25" s="42" customFormat="1" ht="65.25" customHeight="1">
      <c r="A495" s="740"/>
      <c r="B495" s="917" t="s">
        <v>2070</v>
      </c>
      <c r="C495" s="164"/>
      <c r="D495" s="444"/>
      <c r="E495" s="784"/>
      <c r="H495" s="283"/>
      <c r="I495" s="283"/>
      <c r="K495" s="283"/>
      <c r="L495" s="283"/>
      <c r="M495" s="283"/>
      <c r="N495" s="283"/>
      <c r="O495" s="815"/>
      <c r="P495" s="164"/>
      <c r="Q495" s="93">
        <v>700</v>
      </c>
      <c r="R495" s="93">
        <v>700</v>
      </c>
      <c r="S495" s="1346" t="s">
        <v>4632</v>
      </c>
      <c r="T495" s="1346"/>
      <c r="U495" s="1346"/>
      <c r="X495" s="16"/>
      <c r="Y495" s="16"/>
    </row>
    <row r="496" spans="1:25" s="42" customFormat="1" ht="15">
      <c r="A496" s="740"/>
      <c r="B496" s="917" t="s">
        <v>2071</v>
      </c>
      <c r="C496" s="164"/>
      <c r="D496" s="444"/>
      <c r="E496" s="784"/>
      <c r="H496" s="283"/>
      <c r="I496" s="283"/>
      <c r="K496" s="283"/>
      <c r="L496" s="283"/>
      <c r="M496" s="283"/>
      <c r="N496" s="283"/>
      <c r="O496" s="815"/>
      <c r="P496" s="164"/>
      <c r="Q496" s="93">
        <v>300</v>
      </c>
      <c r="R496" s="93">
        <v>300</v>
      </c>
      <c r="S496" s="898" t="s">
        <v>4637</v>
      </c>
      <c r="T496" s="933"/>
      <c r="U496" s="933"/>
      <c r="X496" s="16"/>
      <c r="Y496" s="16"/>
    </row>
    <row r="497" spans="1:25" s="42" customFormat="1" ht="65.25" customHeight="1">
      <c r="A497" s="740"/>
      <c r="B497" s="917" t="s">
        <v>2072</v>
      </c>
      <c r="C497" s="164"/>
      <c r="D497" s="444"/>
      <c r="E497" s="784"/>
      <c r="H497" s="283"/>
      <c r="I497" s="283"/>
      <c r="K497" s="283"/>
      <c r="L497" s="283"/>
      <c r="M497" s="283"/>
      <c r="N497" s="283"/>
      <c r="O497" s="815"/>
      <c r="P497" s="164"/>
      <c r="Q497" s="93">
        <v>600</v>
      </c>
      <c r="R497" s="93">
        <v>600</v>
      </c>
      <c r="S497" s="1346" t="s">
        <v>4632</v>
      </c>
      <c r="T497" s="1346"/>
      <c r="U497" s="1346"/>
      <c r="X497" s="16"/>
      <c r="Y497" s="16"/>
    </row>
    <row r="498" spans="1:25" s="42" customFormat="1" ht="15">
      <c r="A498" s="740"/>
      <c r="B498" s="917" t="s">
        <v>2073</v>
      </c>
      <c r="C498" s="164"/>
      <c r="D498" s="444"/>
      <c r="E498" s="784"/>
      <c r="H498" s="283"/>
      <c r="I498" s="283"/>
      <c r="K498" s="283"/>
      <c r="L498" s="283"/>
      <c r="M498" s="283"/>
      <c r="N498" s="283"/>
      <c r="O498" s="815"/>
      <c r="P498" s="164"/>
      <c r="Q498" s="93">
        <v>400</v>
      </c>
      <c r="R498" s="93">
        <v>400</v>
      </c>
      <c r="S498" s="1346" t="s">
        <v>4638</v>
      </c>
      <c r="T498" s="1346"/>
      <c r="U498" s="1346"/>
      <c r="X498" s="16"/>
      <c r="Y498" s="16"/>
    </row>
    <row r="499" spans="1:25" s="42" customFormat="1" ht="65.25" customHeight="1">
      <c r="A499" s="740"/>
      <c r="B499" s="917" t="s">
        <v>2074</v>
      </c>
      <c r="C499" s="164"/>
      <c r="D499" s="444"/>
      <c r="E499" s="784"/>
      <c r="H499" s="283"/>
      <c r="I499" s="283"/>
      <c r="K499" s="283"/>
      <c r="L499" s="283"/>
      <c r="M499" s="283"/>
      <c r="N499" s="283"/>
      <c r="O499" s="815"/>
      <c r="P499" s="164"/>
      <c r="Q499" s="93">
        <v>400</v>
      </c>
      <c r="R499" s="93">
        <v>400</v>
      </c>
      <c r="S499" s="1346" t="s">
        <v>4632</v>
      </c>
      <c r="T499" s="1346"/>
      <c r="U499" s="1346"/>
      <c r="X499" s="16"/>
      <c r="Y499" s="16"/>
    </row>
    <row r="500" spans="1:25" s="42" customFormat="1" ht="34.5" customHeight="1">
      <c r="A500" s="740"/>
      <c r="B500" s="917" t="s">
        <v>2075</v>
      </c>
      <c r="C500" s="164"/>
      <c r="D500" s="444"/>
      <c r="E500" s="784"/>
      <c r="H500" s="283"/>
      <c r="I500" s="283"/>
      <c r="K500" s="283"/>
      <c r="L500" s="283"/>
      <c r="M500" s="283"/>
      <c r="N500" s="283"/>
      <c r="O500" s="815"/>
      <c r="P500" s="164"/>
      <c r="Q500" s="93">
        <v>600</v>
      </c>
      <c r="R500" s="93">
        <v>600</v>
      </c>
      <c r="S500" s="1346" t="s">
        <v>4639</v>
      </c>
      <c r="T500" s="1346"/>
      <c r="U500" s="1346"/>
      <c r="X500" s="16"/>
      <c r="Y500" s="16"/>
    </row>
    <row r="501" spans="1:25" s="42" customFormat="1" ht="65.25" customHeight="1">
      <c r="A501" s="740"/>
      <c r="B501" s="917" t="s">
        <v>2076</v>
      </c>
      <c r="C501" s="164"/>
      <c r="D501" s="444"/>
      <c r="E501" s="784"/>
      <c r="H501" s="283"/>
      <c r="I501" s="283"/>
      <c r="K501" s="283"/>
      <c r="L501" s="283"/>
      <c r="M501" s="283"/>
      <c r="N501" s="283"/>
      <c r="O501" s="815"/>
      <c r="P501" s="164"/>
      <c r="Q501" s="93">
        <v>600</v>
      </c>
      <c r="R501" s="93">
        <v>600</v>
      </c>
      <c r="S501" s="1346" t="s">
        <v>4632</v>
      </c>
      <c r="T501" s="1346"/>
      <c r="U501" s="1346"/>
      <c r="X501" s="16"/>
      <c r="Y501" s="16"/>
    </row>
    <row r="502" spans="1:25" s="42" customFormat="1" ht="65.25" customHeight="1">
      <c r="A502" s="740"/>
      <c r="B502" s="917" t="s">
        <v>2077</v>
      </c>
      <c r="C502" s="164"/>
      <c r="D502" s="444"/>
      <c r="E502" s="784"/>
      <c r="H502" s="283"/>
      <c r="I502" s="283"/>
      <c r="K502" s="283"/>
      <c r="L502" s="283"/>
      <c r="M502" s="283"/>
      <c r="N502" s="283"/>
      <c r="O502" s="815"/>
      <c r="P502" s="164"/>
      <c r="Q502" s="93">
        <v>10000</v>
      </c>
      <c r="R502" s="93">
        <v>10000</v>
      </c>
      <c r="S502" s="1346" t="s">
        <v>4632</v>
      </c>
      <c r="T502" s="1346"/>
      <c r="U502" s="1346"/>
      <c r="X502" s="16"/>
      <c r="Y502" s="16"/>
    </row>
    <row r="503" spans="1:25" s="42" customFormat="1" ht="65.25" customHeight="1">
      <c r="A503" s="740"/>
      <c r="B503" s="917" t="s">
        <v>2078</v>
      </c>
      <c r="C503" s="164"/>
      <c r="D503" s="444"/>
      <c r="E503" s="784"/>
      <c r="H503" s="283"/>
      <c r="I503" s="283"/>
      <c r="K503" s="283"/>
      <c r="L503" s="283"/>
      <c r="M503" s="283"/>
      <c r="N503" s="283"/>
      <c r="O503" s="815"/>
      <c r="P503" s="164"/>
      <c r="Q503" s="93">
        <v>1000</v>
      </c>
      <c r="R503" s="93">
        <v>1000</v>
      </c>
      <c r="S503" s="1346" t="s">
        <v>4632</v>
      </c>
      <c r="T503" s="1346"/>
      <c r="U503" s="1346"/>
      <c r="X503" s="16"/>
      <c r="Y503" s="16"/>
    </row>
    <row r="504" spans="1:25" s="42" customFormat="1" ht="65.25" customHeight="1">
      <c r="A504" s="740"/>
      <c r="B504" s="917" t="s">
        <v>2079</v>
      </c>
      <c r="C504" s="164"/>
      <c r="D504" s="444"/>
      <c r="E504" s="784"/>
      <c r="H504" s="283"/>
      <c r="I504" s="283"/>
      <c r="K504" s="283"/>
      <c r="L504" s="283"/>
      <c r="M504" s="283"/>
      <c r="N504" s="283"/>
      <c r="O504" s="815"/>
      <c r="P504" s="164"/>
      <c r="Q504" s="93">
        <v>800</v>
      </c>
      <c r="R504" s="93">
        <v>800</v>
      </c>
      <c r="S504" s="1346" t="s">
        <v>4632</v>
      </c>
      <c r="T504" s="1346"/>
      <c r="U504" s="1346"/>
      <c r="X504" s="16"/>
      <c r="Y504" s="16"/>
    </row>
    <row r="505" spans="1:25" s="42" customFormat="1" ht="15">
      <c r="A505" s="740"/>
      <c r="B505" s="917" t="s">
        <v>2080</v>
      </c>
      <c r="C505" s="164"/>
      <c r="D505" s="444"/>
      <c r="E505" s="784"/>
      <c r="H505" s="283"/>
      <c r="I505" s="283"/>
      <c r="K505" s="283"/>
      <c r="L505" s="283"/>
      <c r="M505" s="283"/>
      <c r="N505" s="283"/>
      <c r="O505" s="815"/>
      <c r="P505" s="164"/>
      <c r="Q505" s="351">
        <v>500</v>
      </c>
      <c r="R505" s="351">
        <v>500</v>
      </c>
      <c r="S505" s="898" t="s">
        <v>4640</v>
      </c>
      <c r="T505" s="933"/>
      <c r="U505" s="933"/>
      <c r="X505" s="16"/>
      <c r="Y505" s="16"/>
    </row>
    <row r="506" spans="1:25" s="42" customFormat="1" ht="59.25" customHeight="1">
      <c r="A506" s="740"/>
      <c r="B506" s="917" t="s">
        <v>2081</v>
      </c>
      <c r="C506" s="164"/>
      <c r="D506" s="444"/>
      <c r="E506" s="784"/>
      <c r="H506" s="283"/>
      <c r="I506" s="283"/>
      <c r="K506" s="283"/>
      <c r="L506" s="283"/>
      <c r="M506" s="283"/>
      <c r="N506" s="283"/>
      <c r="O506" s="815"/>
      <c r="P506" s="164"/>
      <c r="Q506" s="93">
        <v>500</v>
      </c>
      <c r="R506" s="93">
        <v>500</v>
      </c>
      <c r="S506" s="1346" t="s">
        <v>4632</v>
      </c>
      <c r="T506" s="1346"/>
      <c r="U506" s="1346"/>
      <c r="X506" s="16"/>
      <c r="Y506" s="16"/>
    </row>
    <row r="507" spans="1:25" s="42" customFormat="1" ht="56.25" customHeight="1">
      <c r="A507" s="740"/>
      <c r="B507" s="917" t="s">
        <v>2082</v>
      </c>
      <c r="C507" s="164"/>
      <c r="D507" s="444"/>
      <c r="E507" s="784"/>
      <c r="H507" s="283"/>
      <c r="I507" s="283"/>
      <c r="K507" s="283"/>
      <c r="L507" s="283"/>
      <c r="M507" s="283"/>
      <c r="N507" s="283"/>
      <c r="O507" s="815"/>
      <c r="P507" s="164"/>
      <c r="Q507" s="93">
        <v>900</v>
      </c>
      <c r="R507" s="93">
        <v>900</v>
      </c>
      <c r="S507" s="1346" t="s">
        <v>4632</v>
      </c>
      <c r="T507" s="1346"/>
      <c r="U507" s="1346"/>
      <c r="X507" s="16"/>
      <c r="Y507" s="16"/>
    </row>
    <row r="508" spans="1:25" s="42" customFormat="1" ht="25.5" customHeight="1">
      <c r="A508" s="740"/>
      <c r="B508" s="917" t="s">
        <v>2083</v>
      </c>
      <c r="C508" s="164"/>
      <c r="D508" s="444"/>
      <c r="E508" s="784"/>
      <c r="H508" s="283"/>
      <c r="I508" s="283"/>
      <c r="K508" s="283"/>
      <c r="L508" s="283"/>
      <c r="M508" s="283"/>
      <c r="N508" s="283"/>
      <c r="O508" s="815"/>
      <c r="P508" s="164"/>
      <c r="Q508" s="93">
        <v>700</v>
      </c>
      <c r="R508" s="93">
        <v>700</v>
      </c>
      <c r="S508" s="1346" t="s">
        <v>4641</v>
      </c>
      <c r="T508" s="1346"/>
      <c r="U508" s="1346"/>
      <c r="X508" s="16"/>
      <c r="Y508" s="16"/>
    </row>
    <row r="509" spans="1:25" s="42" customFormat="1" ht="65.25" customHeight="1">
      <c r="A509" s="740"/>
      <c r="B509" s="917" t="s">
        <v>2084</v>
      </c>
      <c r="C509" s="164"/>
      <c r="D509" s="444"/>
      <c r="E509" s="784"/>
      <c r="H509" s="283"/>
      <c r="I509" s="283"/>
      <c r="K509" s="283"/>
      <c r="L509" s="283"/>
      <c r="M509" s="283"/>
      <c r="N509" s="283"/>
      <c r="O509" s="815"/>
      <c r="P509" s="164"/>
      <c r="Q509" s="93">
        <v>600</v>
      </c>
      <c r="R509" s="93">
        <v>600</v>
      </c>
      <c r="S509" s="1346" t="s">
        <v>4632</v>
      </c>
      <c r="T509" s="1346"/>
      <c r="U509" s="1346"/>
      <c r="X509" s="16"/>
      <c r="Y509" s="16"/>
    </row>
    <row r="510" spans="1:25" s="42" customFormat="1" ht="65.25" customHeight="1">
      <c r="A510" s="740"/>
      <c r="B510" s="917" t="s">
        <v>2085</v>
      </c>
      <c r="C510" s="164"/>
      <c r="D510" s="444"/>
      <c r="E510" s="784"/>
      <c r="H510" s="283"/>
      <c r="I510" s="283"/>
      <c r="K510" s="283"/>
      <c r="L510" s="283"/>
      <c r="M510" s="283"/>
      <c r="N510" s="283"/>
      <c r="O510" s="815"/>
      <c r="P510" s="164"/>
      <c r="Q510" s="93">
        <v>500</v>
      </c>
      <c r="R510" s="93">
        <v>500</v>
      </c>
      <c r="S510" s="1346" t="s">
        <v>4632</v>
      </c>
      <c r="T510" s="1346"/>
      <c r="U510" s="1346"/>
      <c r="X510" s="16"/>
      <c r="Y510" s="16"/>
    </row>
    <row r="511" spans="1:25" s="42" customFormat="1" ht="26.25" customHeight="1">
      <c r="A511" s="740"/>
      <c r="B511" s="917" t="s">
        <v>2086</v>
      </c>
      <c r="C511" s="164"/>
      <c r="D511" s="444"/>
      <c r="E511" s="784"/>
      <c r="H511" s="283"/>
      <c r="I511" s="283"/>
      <c r="K511" s="283"/>
      <c r="L511" s="283"/>
      <c r="M511" s="283"/>
      <c r="N511" s="283"/>
      <c r="O511" s="815"/>
      <c r="P511" s="164"/>
      <c r="Q511" s="93">
        <v>400</v>
      </c>
      <c r="R511" s="93">
        <v>400</v>
      </c>
      <c r="S511" s="1346" t="s">
        <v>4642</v>
      </c>
      <c r="T511" s="1346"/>
      <c r="U511" s="1346"/>
      <c r="X511" s="16"/>
      <c r="Y511" s="16"/>
    </row>
    <row r="512" spans="1:25" s="42" customFormat="1" ht="65.25" customHeight="1">
      <c r="A512" s="740"/>
      <c r="B512" s="917" t="s">
        <v>2087</v>
      </c>
      <c r="C512" s="164"/>
      <c r="D512" s="444"/>
      <c r="E512" s="784"/>
      <c r="H512" s="283"/>
      <c r="I512" s="283"/>
      <c r="K512" s="283"/>
      <c r="L512" s="283"/>
      <c r="M512" s="283"/>
      <c r="N512" s="283"/>
      <c r="O512" s="815"/>
      <c r="P512" s="164"/>
      <c r="Q512" s="93">
        <v>900</v>
      </c>
      <c r="R512" s="93">
        <v>900</v>
      </c>
      <c r="S512" s="1346" t="s">
        <v>4632</v>
      </c>
      <c r="T512" s="1346"/>
      <c r="U512" s="1346"/>
      <c r="X512" s="16"/>
      <c r="Y512" s="16"/>
    </row>
    <row r="513" spans="1:25" s="42" customFormat="1" ht="65.25" customHeight="1">
      <c r="A513" s="740"/>
      <c r="B513" s="917" t="s">
        <v>2088</v>
      </c>
      <c r="C513" s="164"/>
      <c r="D513" s="444"/>
      <c r="E513" s="784"/>
      <c r="H513" s="283"/>
      <c r="I513" s="283"/>
      <c r="K513" s="283"/>
      <c r="L513" s="283"/>
      <c r="M513" s="283"/>
      <c r="N513" s="283"/>
      <c r="O513" s="815"/>
      <c r="P513" s="164"/>
      <c r="Q513" s="93">
        <v>800</v>
      </c>
      <c r="R513" s="93">
        <v>800</v>
      </c>
      <c r="S513" s="1346" t="s">
        <v>4632</v>
      </c>
      <c r="T513" s="1346"/>
      <c r="U513" s="1346"/>
      <c r="X513" s="16"/>
      <c r="Y513" s="16"/>
    </row>
    <row r="514" spans="1:25" s="42" customFormat="1" ht="65.25" customHeight="1">
      <c r="A514" s="740"/>
      <c r="B514" s="917" t="s">
        <v>2089</v>
      </c>
      <c r="C514" s="164"/>
      <c r="D514" s="444"/>
      <c r="E514" s="784"/>
      <c r="H514" s="283"/>
      <c r="I514" s="283"/>
      <c r="K514" s="283"/>
      <c r="L514" s="283"/>
      <c r="M514" s="283"/>
      <c r="N514" s="283"/>
      <c r="O514" s="815"/>
      <c r="P514" s="164"/>
      <c r="Q514" s="93">
        <v>1000</v>
      </c>
      <c r="R514" s="93">
        <v>1000</v>
      </c>
      <c r="S514" s="1346" t="s">
        <v>4632</v>
      </c>
      <c r="T514" s="1346"/>
      <c r="U514" s="1346"/>
      <c r="X514" s="16"/>
      <c r="Y514" s="16"/>
    </row>
    <row r="515" spans="1:25" s="42" customFormat="1" ht="65.25" customHeight="1">
      <c r="A515" s="740"/>
      <c r="B515" s="917" t="s">
        <v>2090</v>
      </c>
      <c r="C515" s="164"/>
      <c r="D515" s="444"/>
      <c r="E515" s="784"/>
      <c r="H515" s="283"/>
      <c r="I515" s="283"/>
      <c r="K515" s="283"/>
      <c r="L515" s="283"/>
      <c r="M515" s="283"/>
      <c r="N515" s="283"/>
      <c r="O515" s="815"/>
      <c r="P515" s="164"/>
      <c r="Q515" s="93">
        <v>1000</v>
      </c>
      <c r="R515" s="93">
        <v>1000</v>
      </c>
      <c r="S515" s="1346" t="s">
        <v>4632</v>
      </c>
      <c r="T515" s="1346"/>
      <c r="U515" s="1346"/>
      <c r="X515" s="16"/>
      <c r="Y515" s="16"/>
    </row>
    <row r="516" spans="1:25" s="42" customFormat="1" ht="65.25" customHeight="1">
      <c r="A516" s="740"/>
      <c r="B516" s="917" t="s">
        <v>2091</v>
      </c>
      <c r="C516" s="164"/>
      <c r="D516" s="444"/>
      <c r="E516" s="784"/>
      <c r="H516" s="283"/>
      <c r="I516" s="283"/>
      <c r="K516" s="283"/>
      <c r="L516" s="283"/>
      <c r="M516" s="283"/>
      <c r="N516" s="283"/>
      <c r="O516" s="815"/>
      <c r="P516" s="164"/>
      <c r="Q516" s="93">
        <v>600</v>
      </c>
      <c r="R516" s="93">
        <v>600</v>
      </c>
      <c r="S516" s="1346" t="s">
        <v>4632</v>
      </c>
      <c r="T516" s="1346"/>
      <c r="U516" s="1346"/>
      <c r="X516" s="16"/>
      <c r="Y516" s="16"/>
    </row>
    <row r="517" spans="1:25" s="42" customFormat="1" ht="65.25" customHeight="1">
      <c r="A517" s="740"/>
      <c r="B517" s="917" t="s">
        <v>2092</v>
      </c>
      <c r="C517" s="164"/>
      <c r="D517" s="444"/>
      <c r="E517" s="784"/>
      <c r="H517" s="283"/>
      <c r="I517" s="283"/>
      <c r="K517" s="283"/>
      <c r="L517" s="283"/>
      <c r="M517" s="283"/>
      <c r="N517" s="283"/>
      <c r="O517" s="815"/>
      <c r="P517" s="164"/>
      <c r="Q517" s="93">
        <v>800</v>
      </c>
      <c r="R517" s="93">
        <v>800</v>
      </c>
      <c r="S517" s="1346" t="s">
        <v>4632</v>
      </c>
      <c r="T517" s="1346"/>
      <c r="U517" s="1346"/>
      <c r="X517" s="16"/>
      <c r="Y517" s="16"/>
    </row>
    <row r="518" spans="1:25" s="42" customFormat="1" ht="65.25" customHeight="1">
      <c r="A518" s="740"/>
      <c r="B518" s="917" t="s">
        <v>2093</v>
      </c>
      <c r="C518" s="164"/>
      <c r="D518" s="444"/>
      <c r="E518" s="784"/>
      <c r="H518" s="283"/>
      <c r="I518" s="283"/>
      <c r="K518" s="283"/>
      <c r="L518" s="283"/>
      <c r="M518" s="283"/>
      <c r="N518" s="283"/>
      <c r="O518" s="815"/>
      <c r="P518" s="164"/>
      <c r="Q518" s="93">
        <v>800</v>
      </c>
      <c r="R518" s="93">
        <v>800</v>
      </c>
      <c r="S518" s="1346" t="s">
        <v>4632</v>
      </c>
      <c r="T518" s="1346"/>
      <c r="U518" s="1346"/>
      <c r="X518" s="16"/>
      <c r="Y518" s="16"/>
    </row>
    <row r="519" spans="1:25" s="42" customFormat="1" ht="65.25" customHeight="1">
      <c r="A519" s="740"/>
      <c r="B519" s="917" t="s">
        <v>2094</v>
      </c>
      <c r="C519" s="164"/>
      <c r="D519" s="444"/>
      <c r="E519" s="784"/>
      <c r="H519" s="283"/>
      <c r="I519" s="283"/>
      <c r="K519" s="283"/>
      <c r="L519" s="283"/>
      <c r="M519" s="283"/>
      <c r="N519" s="283"/>
      <c r="O519" s="815"/>
      <c r="P519" s="164"/>
      <c r="Q519" s="93">
        <v>900</v>
      </c>
      <c r="R519" s="93">
        <v>900</v>
      </c>
      <c r="S519" s="1346" t="s">
        <v>4632</v>
      </c>
      <c r="T519" s="1346"/>
      <c r="U519" s="1346"/>
      <c r="X519" s="16"/>
      <c r="Y519" s="16"/>
    </row>
    <row r="520" spans="1:25" s="42" customFormat="1" ht="65.25" customHeight="1">
      <c r="A520" s="740"/>
      <c r="B520" s="917" t="s">
        <v>2095</v>
      </c>
      <c r="C520" s="164"/>
      <c r="D520" s="444"/>
      <c r="E520" s="784"/>
      <c r="H520" s="283"/>
      <c r="I520" s="283"/>
      <c r="K520" s="283"/>
      <c r="L520" s="283"/>
      <c r="M520" s="283"/>
      <c r="N520" s="283"/>
      <c r="O520" s="815"/>
      <c r="P520" s="164"/>
      <c r="Q520" s="93">
        <v>20000</v>
      </c>
      <c r="R520" s="93">
        <v>20000</v>
      </c>
      <c r="S520" s="1346" t="s">
        <v>4632</v>
      </c>
      <c r="T520" s="1346"/>
      <c r="U520" s="1346"/>
      <c r="X520" s="16"/>
      <c r="Y520" s="16"/>
    </row>
    <row r="521" spans="1:25" s="42" customFormat="1" ht="65.25" customHeight="1">
      <c r="A521" s="740"/>
      <c r="B521" s="917" t="s">
        <v>2096</v>
      </c>
      <c r="C521" s="164"/>
      <c r="D521" s="444"/>
      <c r="E521" s="784"/>
      <c r="H521" s="283"/>
      <c r="I521" s="283"/>
      <c r="K521" s="283"/>
      <c r="L521" s="283"/>
      <c r="M521" s="283"/>
      <c r="N521" s="283"/>
      <c r="O521" s="815"/>
      <c r="P521" s="164"/>
      <c r="Q521" s="93">
        <v>40000</v>
      </c>
      <c r="R521" s="93">
        <v>40000</v>
      </c>
      <c r="S521" s="1346" t="s">
        <v>4632</v>
      </c>
      <c r="T521" s="1346"/>
      <c r="U521" s="1346"/>
      <c r="X521" s="16"/>
      <c r="Y521" s="16"/>
    </row>
    <row r="522" spans="1:25" s="42" customFormat="1" ht="65.25" customHeight="1">
      <c r="A522" s="740"/>
      <c r="B522" s="917" t="s">
        <v>2097</v>
      </c>
      <c r="C522" s="164"/>
      <c r="D522" s="444"/>
      <c r="E522" s="784"/>
      <c r="H522" s="283"/>
      <c r="I522" s="283"/>
      <c r="K522" s="283"/>
      <c r="L522" s="283"/>
      <c r="M522" s="283"/>
      <c r="N522" s="283"/>
      <c r="O522" s="815"/>
      <c r="P522" s="164"/>
      <c r="Q522" s="93">
        <v>900</v>
      </c>
      <c r="R522" s="93">
        <v>900</v>
      </c>
      <c r="S522" s="1346" t="s">
        <v>4632</v>
      </c>
      <c r="T522" s="1346"/>
      <c r="U522" s="1346"/>
      <c r="X522" s="16"/>
      <c r="Y522" s="16"/>
    </row>
    <row r="523" spans="1:25" s="42" customFormat="1" ht="65.25" customHeight="1">
      <c r="A523" s="740"/>
      <c r="B523" s="917" t="s">
        <v>2098</v>
      </c>
      <c r="C523" s="164"/>
      <c r="D523" s="444"/>
      <c r="E523" s="784"/>
      <c r="H523" s="283"/>
      <c r="I523" s="283"/>
      <c r="K523" s="283"/>
      <c r="L523" s="283"/>
      <c r="M523" s="283"/>
      <c r="N523" s="283"/>
      <c r="O523" s="815"/>
      <c r="P523" s="164"/>
      <c r="Q523" s="93">
        <v>1000</v>
      </c>
      <c r="R523" s="93">
        <v>1000</v>
      </c>
      <c r="S523" s="1346" t="s">
        <v>4632</v>
      </c>
      <c r="T523" s="1346"/>
      <c r="U523" s="1346"/>
      <c r="X523" s="16"/>
      <c r="Y523" s="16"/>
    </row>
    <row r="524" spans="1:25" s="42" customFormat="1" ht="65.25" customHeight="1">
      <c r="A524" s="740"/>
      <c r="B524" s="917" t="s">
        <v>2099</v>
      </c>
      <c r="C524" s="164"/>
      <c r="D524" s="444"/>
      <c r="E524" s="784"/>
      <c r="H524" s="283"/>
      <c r="I524" s="283"/>
      <c r="K524" s="283"/>
      <c r="L524" s="283"/>
      <c r="M524" s="283"/>
      <c r="N524" s="283"/>
      <c r="O524" s="815"/>
      <c r="P524" s="164"/>
      <c r="Q524" s="93">
        <v>1000</v>
      </c>
      <c r="R524" s="93">
        <v>1000</v>
      </c>
      <c r="S524" s="1346" t="s">
        <v>4632</v>
      </c>
      <c r="T524" s="1346"/>
      <c r="U524" s="1346"/>
      <c r="X524" s="16"/>
      <c r="Y524" s="16"/>
    </row>
    <row r="525" spans="1:25" s="42" customFormat="1" ht="65.25" customHeight="1">
      <c r="A525" s="740"/>
      <c r="B525" s="917" t="s">
        <v>2100</v>
      </c>
      <c r="C525" s="164"/>
      <c r="D525" s="444"/>
      <c r="E525" s="784"/>
      <c r="H525" s="283"/>
      <c r="I525" s="283"/>
      <c r="K525" s="283"/>
      <c r="L525" s="283"/>
      <c r="M525" s="283"/>
      <c r="N525" s="283"/>
      <c r="O525" s="815"/>
      <c r="P525" s="164"/>
      <c r="Q525" s="93">
        <v>1000</v>
      </c>
      <c r="R525" s="93">
        <v>1000</v>
      </c>
      <c r="S525" s="1346" t="s">
        <v>4632</v>
      </c>
      <c r="T525" s="1346"/>
      <c r="U525" s="1346"/>
      <c r="X525" s="16"/>
      <c r="Y525" s="16"/>
    </row>
    <row r="526" spans="1:25" s="42" customFormat="1" ht="65.25" customHeight="1">
      <c r="A526" s="740"/>
      <c r="B526" s="917" t="s">
        <v>2101</v>
      </c>
      <c r="C526" s="164"/>
      <c r="D526" s="444"/>
      <c r="E526" s="784"/>
      <c r="H526" s="283"/>
      <c r="I526" s="283"/>
      <c r="K526" s="283"/>
      <c r="L526" s="283"/>
      <c r="M526" s="283"/>
      <c r="N526" s="283"/>
      <c r="O526" s="815"/>
      <c r="P526" s="164"/>
      <c r="Q526" s="93">
        <v>700</v>
      </c>
      <c r="R526" s="93">
        <v>700</v>
      </c>
      <c r="S526" s="1346" t="s">
        <v>4632</v>
      </c>
      <c r="T526" s="1346"/>
      <c r="U526" s="1346"/>
      <c r="X526" s="16"/>
      <c r="Y526" s="16"/>
    </row>
    <row r="527" spans="1:25" s="42" customFormat="1" ht="65.25" customHeight="1">
      <c r="A527" s="740"/>
      <c r="B527" s="917" t="s">
        <v>2102</v>
      </c>
      <c r="C527" s="164"/>
      <c r="D527" s="444"/>
      <c r="E527" s="784"/>
      <c r="H527" s="283"/>
      <c r="I527" s="283"/>
      <c r="K527" s="283"/>
      <c r="L527" s="283"/>
      <c r="M527" s="283"/>
      <c r="N527" s="283"/>
      <c r="O527" s="815"/>
      <c r="P527" s="164"/>
      <c r="Q527" s="93">
        <v>900</v>
      </c>
      <c r="R527" s="93">
        <v>900</v>
      </c>
      <c r="S527" s="1346" t="s">
        <v>4632</v>
      </c>
      <c r="T527" s="1346"/>
      <c r="U527" s="1346"/>
      <c r="X527" s="16"/>
      <c r="Y527" s="16"/>
    </row>
    <row r="528" spans="1:25" s="42" customFormat="1" ht="65.25" customHeight="1">
      <c r="A528" s="740"/>
      <c r="B528" s="917" t="s">
        <v>2103</v>
      </c>
      <c r="C528" s="164"/>
      <c r="D528" s="444"/>
      <c r="E528" s="784"/>
      <c r="H528" s="283"/>
      <c r="I528" s="283"/>
      <c r="K528" s="283"/>
      <c r="L528" s="283"/>
      <c r="M528" s="283"/>
      <c r="N528" s="283"/>
      <c r="O528" s="815"/>
      <c r="P528" s="164"/>
      <c r="Q528" s="93">
        <v>600</v>
      </c>
      <c r="R528" s="93">
        <v>600</v>
      </c>
      <c r="S528" s="1346" t="s">
        <v>4632</v>
      </c>
      <c r="T528" s="1346"/>
      <c r="U528" s="1346"/>
      <c r="X528" s="16"/>
      <c r="Y528" s="16"/>
    </row>
    <row r="529" spans="1:25" s="42" customFormat="1" ht="65.25" customHeight="1">
      <c r="A529" s="740"/>
      <c r="B529" s="917" t="s">
        <v>2104</v>
      </c>
      <c r="C529" s="164"/>
      <c r="D529" s="444"/>
      <c r="E529" s="784"/>
      <c r="H529" s="283"/>
      <c r="I529" s="283"/>
      <c r="K529" s="283"/>
      <c r="L529" s="283"/>
      <c r="M529" s="283"/>
      <c r="N529" s="283"/>
      <c r="O529" s="815"/>
      <c r="P529" s="164"/>
      <c r="Q529" s="93">
        <v>600</v>
      </c>
      <c r="R529" s="93">
        <v>600</v>
      </c>
      <c r="S529" s="1346" t="s">
        <v>4632</v>
      </c>
      <c r="T529" s="1346"/>
      <c r="U529" s="1346"/>
      <c r="X529" s="16"/>
      <c r="Y529" s="16"/>
    </row>
    <row r="530" spans="1:25" s="42" customFormat="1" ht="65.25" customHeight="1">
      <c r="A530" s="740"/>
      <c r="B530" s="917" t="s">
        <v>2105</v>
      </c>
      <c r="C530" s="164"/>
      <c r="D530" s="444"/>
      <c r="E530" s="784"/>
      <c r="H530" s="283"/>
      <c r="I530" s="283"/>
      <c r="K530" s="283"/>
      <c r="L530" s="283"/>
      <c r="M530" s="283"/>
      <c r="N530" s="283"/>
      <c r="O530" s="815"/>
      <c r="P530" s="164"/>
      <c r="Q530" s="93">
        <v>1000</v>
      </c>
      <c r="R530" s="93">
        <v>1000</v>
      </c>
      <c r="S530" s="1346" t="s">
        <v>4632</v>
      </c>
      <c r="T530" s="1346"/>
      <c r="U530" s="1346"/>
      <c r="X530" s="16"/>
      <c r="Y530" s="16"/>
    </row>
    <row r="531" spans="1:25" s="42" customFormat="1" ht="65.25" customHeight="1">
      <c r="A531" s="740"/>
      <c r="B531" s="917" t="s">
        <v>2106</v>
      </c>
      <c r="C531" s="164"/>
      <c r="D531" s="444"/>
      <c r="E531" s="784"/>
      <c r="H531" s="283"/>
      <c r="I531" s="283"/>
      <c r="K531" s="283"/>
      <c r="L531" s="283"/>
      <c r="M531" s="283"/>
      <c r="N531" s="283"/>
      <c r="O531" s="815"/>
      <c r="P531" s="164"/>
      <c r="Q531" s="93">
        <v>1000</v>
      </c>
      <c r="R531" s="93">
        <v>1000</v>
      </c>
      <c r="S531" s="1346" t="s">
        <v>4632</v>
      </c>
      <c r="T531" s="1346"/>
      <c r="U531" s="1346"/>
      <c r="X531" s="16"/>
      <c r="Y531" s="16"/>
    </row>
    <row r="532" spans="1:25" s="42" customFormat="1" ht="65.25" customHeight="1">
      <c r="A532" s="740"/>
      <c r="B532" s="917" t="s">
        <v>2107</v>
      </c>
      <c r="C532" s="164"/>
      <c r="D532" s="444"/>
      <c r="E532" s="784"/>
      <c r="H532" s="283"/>
      <c r="I532" s="283"/>
      <c r="K532" s="283"/>
      <c r="L532" s="283"/>
      <c r="M532" s="283"/>
      <c r="N532" s="283"/>
      <c r="O532" s="815"/>
      <c r="P532" s="164"/>
      <c r="Q532" s="93">
        <v>400</v>
      </c>
      <c r="R532" s="93">
        <v>400</v>
      </c>
      <c r="S532" s="1346" t="s">
        <v>4632</v>
      </c>
      <c r="T532" s="1346"/>
      <c r="U532" s="1346"/>
      <c r="X532" s="16"/>
      <c r="Y532" s="16"/>
    </row>
    <row r="533" spans="1:25" s="42" customFormat="1" ht="65.25" customHeight="1">
      <c r="A533" s="740"/>
      <c r="B533" s="917" t="s">
        <v>2108</v>
      </c>
      <c r="C533" s="164"/>
      <c r="D533" s="444"/>
      <c r="E533" s="784"/>
      <c r="H533" s="283"/>
      <c r="I533" s="283"/>
      <c r="K533" s="283"/>
      <c r="L533" s="283"/>
      <c r="M533" s="283"/>
      <c r="N533" s="283"/>
      <c r="O533" s="815"/>
      <c r="P533" s="164"/>
      <c r="Q533" s="93">
        <v>800</v>
      </c>
      <c r="R533" s="93">
        <v>800</v>
      </c>
      <c r="S533" s="1346" t="s">
        <v>4632</v>
      </c>
      <c r="T533" s="1346"/>
      <c r="U533" s="1346"/>
      <c r="X533" s="16"/>
      <c r="Y533" s="16"/>
    </row>
    <row r="534" spans="1:25" s="42" customFormat="1" ht="65.25" customHeight="1">
      <c r="A534" s="740"/>
      <c r="B534" s="917" t="s">
        <v>2109</v>
      </c>
      <c r="C534" s="164"/>
      <c r="D534" s="444"/>
      <c r="E534" s="784"/>
      <c r="H534" s="283"/>
      <c r="I534" s="283"/>
      <c r="K534" s="283"/>
      <c r="L534" s="283"/>
      <c r="M534" s="283"/>
      <c r="N534" s="283"/>
      <c r="O534" s="815"/>
      <c r="P534" s="164"/>
      <c r="Q534" s="93">
        <v>20000</v>
      </c>
      <c r="R534" s="93">
        <v>20000</v>
      </c>
      <c r="S534" s="1346" t="s">
        <v>4632</v>
      </c>
      <c r="T534" s="1346"/>
      <c r="U534" s="1346"/>
      <c r="X534" s="16"/>
      <c r="Y534" s="16"/>
    </row>
    <row r="535" spans="1:25" s="42" customFormat="1" ht="65.25" customHeight="1">
      <c r="A535" s="740"/>
      <c r="B535" s="917" t="s">
        <v>2110</v>
      </c>
      <c r="C535" s="164"/>
      <c r="D535" s="444"/>
      <c r="E535" s="784"/>
      <c r="H535" s="283"/>
      <c r="I535" s="283"/>
      <c r="K535" s="283"/>
      <c r="L535" s="283"/>
      <c r="M535" s="283"/>
      <c r="N535" s="283"/>
      <c r="O535" s="815"/>
      <c r="P535" s="164"/>
      <c r="Q535" s="93">
        <v>700</v>
      </c>
      <c r="R535" s="93">
        <v>700</v>
      </c>
      <c r="S535" s="1346" t="s">
        <v>4632</v>
      </c>
      <c r="T535" s="1346"/>
      <c r="U535" s="1346"/>
      <c r="X535" s="16"/>
      <c r="Y535" s="16"/>
    </row>
    <row r="536" spans="1:25" s="42" customFormat="1" ht="65.25" customHeight="1">
      <c r="A536" s="740"/>
      <c r="B536" s="917" t="s">
        <v>2111</v>
      </c>
      <c r="C536" s="164"/>
      <c r="D536" s="444"/>
      <c r="E536" s="784"/>
      <c r="H536" s="283"/>
      <c r="I536" s="283"/>
      <c r="K536" s="283"/>
      <c r="L536" s="283"/>
      <c r="M536" s="283"/>
      <c r="N536" s="283"/>
      <c r="O536" s="815"/>
      <c r="P536" s="164"/>
      <c r="Q536" s="93">
        <v>900</v>
      </c>
      <c r="R536" s="93">
        <v>900</v>
      </c>
      <c r="S536" s="1346" t="s">
        <v>4632</v>
      </c>
      <c r="T536" s="1346"/>
      <c r="U536" s="1346"/>
      <c r="X536" s="16"/>
      <c r="Y536" s="16"/>
    </row>
    <row r="537" spans="1:25" s="42" customFormat="1" ht="65.25" customHeight="1">
      <c r="A537" s="740"/>
      <c r="B537" s="917" t="s">
        <v>2112</v>
      </c>
      <c r="C537" s="164"/>
      <c r="D537" s="444"/>
      <c r="E537" s="784"/>
      <c r="H537" s="283"/>
      <c r="I537" s="283"/>
      <c r="K537" s="283"/>
      <c r="L537" s="283"/>
      <c r="M537" s="283"/>
      <c r="N537" s="283"/>
      <c r="O537" s="815"/>
      <c r="P537" s="164"/>
      <c r="Q537" s="93">
        <v>700</v>
      </c>
      <c r="R537" s="93">
        <v>700</v>
      </c>
      <c r="S537" s="1346" t="s">
        <v>4632</v>
      </c>
      <c r="T537" s="1346"/>
      <c r="U537" s="1346"/>
      <c r="X537" s="16"/>
      <c r="Y537" s="16"/>
    </row>
    <row r="538" spans="1:25" s="42" customFormat="1" ht="65.25" customHeight="1">
      <c r="A538" s="740"/>
      <c r="B538" s="917" t="s">
        <v>2113</v>
      </c>
      <c r="C538" s="164"/>
      <c r="D538" s="444"/>
      <c r="E538" s="784"/>
      <c r="H538" s="283"/>
      <c r="I538" s="283"/>
      <c r="K538" s="283"/>
      <c r="L538" s="283"/>
      <c r="M538" s="283"/>
      <c r="N538" s="283"/>
      <c r="O538" s="815"/>
      <c r="P538" s="164"/>
      <c r="Q538" s="93">
        <v>700</v>
      </c>
      <c r="R538" s="93">
        <v>700</v>
      </c>
      <c r="S538" s="1346" t="s">
        <v>4632</v>
      </c>
      <c r="T538" s="1346"/>
      <c r="U538" s="1346"/>
      <c r="X538" s="16"/>
      <c r="Y538" s="16"/>
    </row>
    <row r="539" spans="1:25" s="42" customFormat="1" ht="65.25" customHeight="1">
      <c r="A539" s="740"/>
      <c r="B539" s="917" t="s">
        <v>2114</v>
      </c>
      <c r="C539" s="164"/>
      <c r="D539" s="444"/>
      <c r="E539" s="784"/>
      <c r="H539" s="283"/>
      <c r="I539" s="283"/>
      <c r="K539" s="283"/>
      <c r="L539" s="283"/>
      <c r="M539" s="283"/>
      <c r="N539" s="283"/>
      <c r="O539" s="815"/>
      <c r="P539" s="164"/>
      <c r="Q539" s="93">
        <v>700</v>
      </c>
      <c r="R539" s="93">
        <v>700</v>
      </c>
      <c r="S539" s="1346" t="s">
        <v>4632</v>
      </c>
      <c r="T539" s="1346"/>
      <c r="U539" s="1346"/>
      <c r="X539" s="16"/>
      <c r="Y539" s="16"/>
    </row>
    <row r="540" spans="1:25" s="42" customFormat="1" ht="65.25" customHeight="1">
      <c r="A540" s="740"/>
      <c r="B540" s="917" t="s">
        <v>2115</v>
      </c>
      <c r="C540" s="164"/>
      <c r="D540" s="444"/>
      <c r="E540" s="784"/>
      <c r="H540" s="283"/>
      <c r="I540" s="283"/>
      <c r="K540" s="283"/>
      <c r="L540" s="283"/>
      <c r="M540" s="283"/>
      <c r="N540" s="283"/>
      <c r="O540" s="815"/>
      <c r="P540" s="164"/>
      <c r="Q540" s="93">
        <v>1000</v>
      </c>
      <c r="R540" s="93">
        <v>1000</v>
      </c>
      <c r="S540" s="1346" t="s">
        <v>4632</v>
      </c>
      <c r="T540" s="1346"/>
      <c r="U540" s="1346"/>
      <c r="X540" s="16"/>
      <c r="Y540" s="16"/>
    </row>
    <row r="541" spans="1:25" s="42" customFormat="1" ht="65.25" customHeight="1">
      <c r="A541" s="740"/>
      <c r="B541" s="917" t="s">
        <v>2116</v>
      </c>
      <c r="C541" s="164"/>
      <c r="D541" s="444"/>
      <c r="E541" s="784"/>
      <c r="H541" s="283"/>
      <c r="I541" s="283"/>
      <c r="K541" s="283"/>
      <c r="L541" s="283"/>
      <c r="M541" s="283"/>
      <c r="N541" s="283"/>
      <c r="O541" s="815"/>
      <c r="P541" s="164"/>
      <c r="Q541" s="93">
        <v>1000</v>
      </c>
      <c r="R541" s="93">
        <v>1000</v>
      </c>
      <c r="S541" s="1346" t="s">
        <v>4632</v>
      </c>
      <c r="T541" s="1346"/>
      <c r="U541" s="1346"/>
      <c r="X541" s="16"/>
      <c r="Y541" s="16"/>
    </row>
    <row r="542" spans="1:25" s="42" customFormat="1" ht="65.25" customHeight="1">
      <c r="A542" s="740"/>
      <c r="B542" s="917" t="s">
        <v>2117</v>
      </c>
      <c r="C542" s="164"/>
      <c r="D542" s="444"/>
      <c r="E542" s="784"/>
      <c r="H542" s="283"/>
      <c r="I542" s="283"/>
      <c r="K542" s="283"/>
      <c r="L542" s="283"/>
      <c r="M542" s="283"/>
      <c r="N542" s="283"/>
      <c r="O542" s="815"/>
      <c r="P542" s="164"/>
      <c r="Q542" s="93">
        <v>1000</v>
      </c>
      <c r="R542" s="93">
        <v>1000</v>
      </c>
      <c r="S542" s="1346" t="s">
        <v>4632</v>
      </c>
      <c r="T542" s="1346"/>
      <c r="U542" s="1346"/>
      <c r="X542" s="16"/>
      <c r="Y542" s="16"/>
    </row>
    <row r="543" spans="1:25" s="42" customFormat="1" ht="65.25" customHeight="1">
      <c r="A543" s="740"/>
      <c r="B543" s="917" t="s">
        <v>2118</v>
      </c>
      <c r="C543" s="164"/>
      <c r="D543" s="444"/>
      <c r="E543" s="784"/>
      <c r="H543" s="283"/>
      <c r="I543" s="283"/>
      <c r="K543" s="283"/>
      <c r="L543" s="283"/>
      <c r="M543" s="283"/>
      <c r="N543" s="283"/>
      <c r="O543" s="815"/>
      <c r="P543" s="164"/>
      <c r="Q543" s="93">
        <v>15000</v>
      </c>
      <c r="R543" s="93">
        <v>15000</v>
      </c>
      <c r="S543" s="1346" t="s">
        <v>4632</v>
      </c>
      <c r="T543" s="1346"/>
      <c r="U543" s="1346"/>
      <c r="X543" s="16"/>
      <c r="Y543" s="16"/>
    </row>
    <row r="544" spans="1:25" s="42" customFormat="1" ht="65.25" customHeight="1">
      <c r="A544" s="740"/>
      <c r="B544" s="917" t="s">
        <v>2119</v>
      </c>
      <c r="C544" s="164"/>
      <c r="D544" s="444"/>
      <c r="E544" s="784"/>
      <c r="H544" s="283"/>
      <c r="I544" s="283"/>
      <c r="K544" s="283"/>
      <c r="L544" s="283"/>
      <c r="M544" s="283"/>
      <c r="N544" s="283"/>
      <c r="O544" s="815"/>
      <c r="P544" s="164"/>
      <c r="Q544" s="93">
        <v>1000</v>
      </c>
      <c r="R544" s="93">
        <v>1000</v>
      </c>
      <c r="S544" s="1346" t="s">
        <v>4632</v>
      </c>
      <c r="T544" s="1346"/>
      <c r="U544" s="1346"/>
      <c r="X544" s="16"/>
      <c r="Y544" s="16"/>
    </row>
    <row r="545" spans="1:25" s="42" customFormat="1" ht="65.25" customHeight="1">
      <c r="A545" s="740"/>
      <c r="B545" s="917" t="s">
        <v>2120</v>
      </c>
      <c r="C545" s="164"/>
      <c r="D545" s="444"/>
      <c r="E545" s="784"/>
      <c r="H545" s="283"/>
      <c r="I545" s="283"/>
      <c r="K545" s="283"/>
      <c r="L545" s="283"/>
      <c r="M545" s="283"/>
      <c r="N545" s="283"/>
      <c r="O545" s="815"/>
      <c r="P545" s="164"/>
      <c r="Q545" s="93">
        <v>700</v>
      </c>
      <c r="R545" s="93">
        <v>700</v>
      </c>
      <c r="S545" s="1346" t="s">
        <v>4632</v>
      </c>
      <c r="T545" s="1346"/>
      <c r="U545" s="1346"/>
      <c r="X545" s="16"/>
      <c r="Y545" s="16"/>
    </row>
    <row r="546" spans="1:25" s="42" customFormat="1" ht="65.25" customHeight="1">
      <c r="A546" s="740"/>
      <c r="B546" s="917" t="s">
        <v>2121</v>
      </c>
      <c r="C546" s="164"/>
      <c r="D546" s="444"/>
      <c r="E546" s="784"/>
      <c r="H546" s="283"/>
      <c r="I546" s="283"/>
      <c r="K546" s="283"/>
      <c r="L546" s="283"/>
      <c r="M546" s="283"/>
      <c r="N546" s="283"/>
      <c r="O546" s="815"/>
      <c r="P546" s="164"/>
      <c r="Q546" s="93">
        <v>600</v>
      </c>
      <c r="R546" s="93">
        <v>600</v>
      </c>
      <c r="S546" s="1346" t="s">
        <v>4632</v>
      </c>
      <c r="T546" s="1346"/>
      <c r="U546" s="1346"/>
      <c r="X546" s="16"/>
      <c r="Y546" s="16"/>
    </row>
    <row r="547" spans="1:25" s="42" customFormat="1" ht="65.25" customHeight="1">
      <c r="A547" s="740"/>
      <c r="B547" s="917" t="s">
        <v>2122</v>
      </c>
      <c r="C547" s="164"/>
      <c r="D547" s="444"/>
      <c r="E547" s="784"/>
      <c r="H547" s="283"/>
      <c r="I547" s="283"/>
      <c r="K547" s="283"/>
      <c r="L547" s="283"/>
      <c r="M547" s="283"/>
      <c r="N547" s="283"/>
      <c r="O547" s="815"/>
      <c r="P547" s="164"/>
      <c r="Q547" s="93">
        <v>800</v>
      </c>
      <c r="R547" s="93">
        <v>800</v>
      </c>
      <c r="S547" s="1346" t="s">
        <v>4632</v>
      </c>
      <c r="T547" s="1346"/>
      <c r="U547" s="1346"/>
      <c r="X547" s="16"/>
      <c r="Y547" s="16"/>
    </row>
    <row r="548" spans="1:25" s="42" customFormat="1" ht="65.25" customHeight="1">
      <c r="A548" s="740"/>
      <c r="B548" s="917" t="s">
        <v>2123</v>
      </c>
      <c r="C548" s="164"/>
      <c r="D548" s="444"/>
      <c r="E548" s="784"/>
      <c r="H548" s="283"/>
      <c r="I548" s="283"/>
      <c r="K548" s="283"/>
      <c r="L548" s="283"/>
      <c r="M548" s="283"/>
      <c r="N548" s="283"/>
      <c r="O548" s="815"/>
      <c r="P548" s="164"/>
      <c r="Q548" s="93">
        <v>25000</v>
      </c>
      <c r="R548" s="93">
        <v>25000</v>
      </c>
      <c r="S548" s="1346" t="s">
        <v>4632</v>
      </c>
      <c r="T548" s="1346"/>
      <c r="U548" s="1346"/>
      <c r="X548" s="16"/>
      <c r="Y548" s="16"/>
    </row>
    <row r="549" spans="1:25" s="42" customFormat="1" ht="65.25" customHeight="1">
      <c r="A549" s="740"/>
      <c r="B549" s="917" t="s">
        <v>2124</v>
      </c>
      <c r="C549" s="164"/>
      <c r="D549" s="444"/>
      <c r="E549" s="784"/>
      <c r="H549" s="283"/>
      <c r="I549" s="283"/>
      <c r="K549" s="283"/>
      <c r="L549" s="283"/>
      <c r="M549" s="283"/>
      <c r="N549" s="283"/>
      <c r="O549" s="815"/>
      <c r="P549" s="164"/>
      <c r="Q549" s="93">
        <v>1000</v>
      </c>
      <c r="R549" s="93">
        <v>1000</v>
      </c>
      <c r="S549" s="1346" t="s">
        <v>4632</v>
      </c>
      <c r="T549" s="1346"/>
      <c r="U549" s="1346"/>
      <c r="X549" s="16"/>
      <c r="Y549" s="16"/>
    </row>
    <row r="550" spans="1:25" s="42" customFormat="1" ht="65.25" customHeight="1">
      <c r="A550" s="740"/>
      <c r="B550" s="917" t="s">
        <v>2125</v>
      </c>
      <c r="C550" s="164"/>
      <c r="D550" s="444"/>
      <c r="E550" s="784"/>
      <c r="H550" s="283"/>
      <c r="I550" s="283"/>
      <c r="K550" s="283"/>
      <c r="L550" s="283"/>
      <c r="M550" s="283"/>
      <c r="N550" s="283"/>
      <c r="O550" s="815"/>
      <c r="P550" s="164"/>
      <c r="Q550" s="93">
        <v>15000</v>
      </c>
      <c r="R550" s="93">
        <v>15000</v>
      </c>
      <c r="S550" s="1346" t="s">
        <v>4632</v>
      </c>
      <c r="T550" s="1346"/>
      <c r="U550" s="1346"/>
      <c r="X550" s="16"/>
      <c r="Y550" s="16"/>
    </row>
    <row r="551" spans="1:25" s="42" customFormat="1" ht="65.25" customHeight="1">
      <c r="A551" s="740"/>
      <c r="B551" s="917" t="s">
        <v>2126</v>
      </c>
      <c r="C551" s="164"/>
      <c r="D551" s="444"/>
      <c r="E551" s="784"/>
      <c r="H551" s="283"/>
      <c r="I551" s="283"/>
      <c r="K551" s="283"/>
      <c r="L551" s="283"/>
      <c r="M551" s="283"/>
      <c r="N551" s="283"/>
      <c r="O551" s="815"/>
      <c r="P551" s="164"/>
      <c r="Q551" s="93">
        <v>15000</v>
      </c>
      <c r="R551" s="93">
        <v>15000</v>
      </c>
      <c r="S551" s="1346" t="s">
        <v>4632</v>
      </c>
      <c r="T551" s="1346"/>
      <c r="U551" s="1346"/>
      <c r="X551" s="16"/>
      <c r="Y551" s="16"/>
    </row>
    <row r="552" spans="1:25" s="42" customFormat="1" ht="65.25" customHeight="1">
      <c r="A552" s="740"/>
      <c r="B552" s="917" t="s">
        <v>2127</v>
      </c>
      <c r="C552" s="164"/>
      <c r="D552" s="444"/>
      <c r="E552" s="784"/>
      <c r="H552" s="283"/>
      <c r="I552" s="283"/>
      <c r="K552" s="283"/>
      <c r="L552" s="283"/>
      <c r="M552" s="283"/>
      <c r="N552" s="283"/>
      <c r="O552" s="815"/>
      <c r="P552" s="164"/>
      <c r="Q552" s="93">
        <v>500</v>
      </c>
      <c r="R552" s="93">
        <v>500</v>
      </c>
      <c r="S552" s="1346" t="s">
        <v>4632</v>
      </c>
      <c r="T552" s="1346"/>
      <c r="U552" s="1346"/>
      <c r="X552" s="16"/>
      <c r="Y552" s="16"/>
    </row>
    <row r="553" spans="1:25" s="42" customFormat="1" ht="65.25" customHeight="1">
      <c r="A553" s="740"/>
      <c r="B553" s="917" t="s">
        <v>2128</v>
      </c>
      <c r="C553" s="164"/>
      <c r="D553" s="444"/>
      <c r="E553" s="784"/>
      <c r="H553" s="283"/>
      <c r="I553" s="283"/>
      <c r="K553" s="283"/>
      <c r="L553" s="283"/>
      <c r="M553" s="283"/>
      <c r="N553" s="283"/>
      <c r="O553" s="815"/>
      <c r="P553" s="164"/>
      <c r="Q553" s="93">
        <v>600</v>
      </c>
      <c r="R553" s="93">
        <v>600</v>
      </c>
      <c r="S553" s="1346" t="s">
        <v>4632</v>
      </c>
      <c r="T553" s="1346"/>
      <c r="U553" s="1346"/>
      <c r="X553" s="16"/>
      <c r="Y553" s="16"/>
    </row>
    <row r="554" spans="1:25" s="42" customFormat="1" ht="65.25" customHeight="1">
      <c r="A554" s="740"/>
      <c r="B554" s="917" t="s">
        <v>2129</v>
      </c>
      <c r="C554" s="164"/>
      <c r="D554" s="444"/>
      <c r="E554" s="784"/>
      <c r="H554" s="283"/>
      <c r="I554" s="283"/>
      <c r="K554" s="283"/>
      <c r="L554" s="283"/>
      <c r="M554" s="283"/>
      <c r="N554" s="283"/>
      <c r="O554" s="815"/>
      <c r="P554" s="164"/>
      <c r="Q554" s="93">
        <v>500</v>
      </c>
      <c r="R554" s="93">
        <v>500</v>
      </c>
      <c r="S554" s="1346" t="s">
        <v>4632</v>
      </c>
      <c r="T554" s="1346"/>
      <c r="U554" s="1346"/>
      <c r="X554" s="16"/>
      <c r="Y554" s="16"/>
    </row>
    <row r="555" spans="1:25" s="42" customFormat="1" ht="65.25" customHeight="1">
      <c r="A555" s="740"/>
      <c r="B555" s="917" t="s">
        <v>2130</v>
      </c>
      <c r="C555" s="164"/>
      <c r="D555" s="444"/>
      <c r="E555" s="784"/>
      <c r="H555" s="283"/>
      <c r="I555" s="283"/>
      <c r="K555" s="283"/>
      <c r="L555" s="283"/>
      <c r="M555" s="283"/>
      <c r="N555" s="283"/>
      <c r="O555" s="815"/>
      <c r="P555" s="164"/>
      <c r="Q555" s="93">
        <v>400</v>
      </c>
      <c r="R555" s="93">
        <v>400</v>
      </c>
      <c r="S555" s="1346" t="s">
        <v>4632</v>
      </c>
      <c r="T555" s="1346"/>
      <c r="U555" s="1346"/>
      <c r="X555" s="16"/>
      <c r="Y555" s="16"/>
    </row>
    <row r="556" spans="1:25" s="42" customFormat="1" ht="65.25" customHeight="1">
      <c r="A556" s="740"/>
      <c r="B556" s="917" t="s">
        <v>2131</v>
      </c>
      <c r="C556" s="164"/>
      <c r="D556" s="444"/>
      <c r="E556" s="784"/>
      <c r="H556" s="283"/>
      <c r="I556" s="283"/>
      <c r="K556" s="283"/>
      <c r="L556" s="283"/>
      <c r="M556" s="283"/>
      <c r="N556" s="283"/>
      <c r="O556" s="815"/>
      <c r="P556" s="164"/>
      <c r="Q556" s="93">
        <v>500</v>
      </c>
      <c r="R556" s="93">
        <v>500</v>
      </c>
      <c r="S556" s="1346" t="s">
        <v>4632</v>
      </c>
      <c r="T556" s="1346"/>
      <c r="U556" s="1346"/>
      <c r="X556" s="16"/>
      <c r="Y556" s="16"/>
    </row>
    <row r="557" spans="1:25" s="42" customFormat="1" ht="65.25" customHeight="1">
      <c r="A557" s="740"/>
      <c r="B557" s="917" t="s">
        <v>2132</v>
      </c>
      <c r="C557" s="164"/>
      <c r="D557" s="444"/>
      <c r="E557" s="784"/>
      <c r="H557" s="283"/>
      <c r="I557" s="283"/>
      <c r="K557" s="283"/>
      <c r="L557" s="283"/>
      <c r="M557" s="283"/>
      <c r="N557" s="283"/>
      <c r="O557" s="815"/>
      <c r="P557" s="164"/>
      <c r="Q557" s="93">
        <v>600</v>
      </c>
      <c r="R557" s="93">
        <v>600</v>
      </c>
      <c r="S557" s="1346" t="s">
        <v>4632</v>
      </c>
      <c r="T557" s="1346"/>
      <c r="U557" s="1346"/>
      <c r="X557" s="16"/>
      <c r="Y557" s="16"/>
    </row>
    <row r="558" spans="1:25" s="42" customFormat="1" ht="65.25" customHeight="1">
      <c r="A558" s="740"/>
      <c r="B558" s="917" t="s">
        <v>2133</v>
      </c>
      <c r="C558" s="164"/>
      <c r="D558" s="444"/>
      <c r="E558" s="784"/>
      <c r="H558" s="283"/>
      <c r="I558" s="283"/>
      <c r="K558" s="283"/>
      <c r="L558" s="283"/>
      <c r="M558" s="283"/>
      <c r="N558" s="283"/>
      <c r="O558" s="815"/>
      <c r="P558" s="164"/>
      <c r="Q558" s="93">
        <v>700</v>
      </c>
      <c r="R558" s="93">
        <v>700</v>
      </c>
      <c r="S558" s="1346" t="s">
        <v>4632</v>
      </c>
      <c r="T558" s="1346"/>
      <c r="U558" s="1346"/>
      <c r="X558" s="16"/>
      <c r="Y558" s="16"/>
    </row>
    <row r="559" spans="1:25" s="42" customFormat="1" ht="65.25" customHeight="1">
      <c r="A559" s="740"/>
      <c r="B559" s="917" t="s">
        <v>2134</v>
      </c>
      <c r="C559" s="164"/>
      <c r="D559" s="444"/>
      <c r="E559" s="784"/>
      <c r="H559" s="283"/>
      <c r="I559" s="283"/>
      <c r="K559" s="283"/>
      <c r="L559" s="283"/>
      <c r="M559" s="283"/>
      <c r="N559" s="283"/>
      <c r="O559" s="815"/>
      <c r="P559" s="164"/>
      <c r="Q559" s="93">
        <v>600</v>
      </c>
      <c r="R559" s="93">
        <v>600</v>
      </c>
      <c r="S559" s="1346" t="s">
        <v>4632</v>
      </c>
      <c r="T559" s="1346"/>
      <c r="U559" s="1346"/>
      <c r="X559" s="16"/>
      <c r="Y559" s="16"/>
    </row>
    <row r="560" spans="1:25" s="42" customFormat="1" ht="65.25" customHeight="1">
      <c r="A560" s="740"/>
      <c r="B560" s="917" t="s">
        <v>2135</v>
      </c>
      <c r="C560" s="164"/>
      <c r="D560" s="444"/>
      <c r="E560" s="784"/>
      <c r="H560" s="283"/>
      <c r="I560" s="283"/>
      <c r="K560" s="283"/>
      <c r="L560" s="283"/>
      <c r="M560" s="283"/>
      <c r="N560" s="283"/>
      <c r="O560" s="815"/>
      <c r="P560" s="164"/>
      <c r="Q560" s="93">
        <v>700</v>
      </c>
      <c r="R560" s="93">
        <v>700</v>
      </c>
      <c r="S560" s="1346" t="s">
        <v>4632</v>
      </c>
      <c r="T560" s="1346"/>
      <c r="U560" s="1346"/>
      <c r="X560" s="16"/>
      <c r="Y560" s="16"/>
    </row>
    <row r="561" spans="1:25" s="42" customFormat="1" ht="65.25" customHeight="1">
      <c r="A561" s="740"/>
      <c r="B561" s="917" t="s">
        <v>2136</v>
      </c>
      <c r="C561" s="164"/>
      <c r="D561" s="444"/>
      <c r="E561" s="784"/>
      <c r="H561" s="283"/>
      <c r="I561" s="283"/>
      <c r="K561" s="283"/>
      <c r="L561" s="283"/>
      <c r="M561" s="283"/>
      <c r="N561" s="283"/>
      <c r="O561" s="815"/>
      <c r="P561" s="164"/>
      <c r="Q561" s="93">
        <v>1000</v>
      </c>
      <c r="R561" s="93">
        <v>1000</v>
      </c>
      <c r="S561" s="1346" t="s">
        <v>4632</v>
      </c>
      <c r="T561" s="1346"/>
      <c r="U561" s="1346"/>
      <c r="X561" s="16"/>
      <c r="Y561" s="16"/>
    </row>
    <row r="562" spans="1:25" s="42" customFormat="1" ht="65.25" customHeight="1">
      <c r="A562" s="740"/>
      <c r="B562" s="917" t="s">
        <v>2137</v>
      </c>
      <c r="C562" s="164"/>
      <c r="D562" s="444"/>
      <c r="E562" s="784"/>
      <c r="H562" s="283"/>
      <c r="I562" s="283"/>
      <c r="K562" s="283"/>
      <c r="L562" s="283"/>
      <c r="M562" s="283"/>
      <c r="N562" s="283"/>
      <c r="O562" s="815"/>
      <c r="P562" s="164"/>
      <c r="Q562" s="93">
        <v>15000</v>
      </c>
      <c r="R562" s="93">
        <v>15000</v>
      </c>
      <c r="S562" s="1346" t="s">
        <v>4632</v>
      </c>
      <c r="T562" s="1346"/>
      <c r="U562" s="1346"/>
      <c r="X562" s="16"/>
      <c r="Y562" s="16"/>
    </row>
    <row r="563" spans="1:25" s="42" customFormat="1" ht="30" customHeight="1">
      <c r="A563" s="740"/>
      <c r="B563" s="917" t="s">
        <v>2138</v>
      </c>
      <c r="C563" s="164"/>
      <c r="D563" s="444"/>
      <c r="E563" s="784"/>
      <c r="H563" s="283"/>
      <c r="I563" s="283"/>
      <c r="K563" s="283"/>
      <c r="L563" s="283"/>
      <c r="M563" s="283"/>
      <c r="N563" s="283"/>
      <c r="O563" s="815"/>
      <c r="P563" s="164"/>
      <c r="Q563" s="93">
        <v>700</v>
      </c>
      <c r="R563" s="93">
        <v>700</v>
      </c>
      <c r="S563" s="1346" t="s">
        <v>4643</v>
      </c>
      <c r="T563" s="1346"/>
      <c r="U563" s="1346"/>
      <c r="X563" s="16"/>
      <c r="Y563" s="16"/>
    </row>
    <row r="564" spans="1:25" s="42" customFormat="1" ht="65.25" customHeight="1">
      <c r="A564" s="740"/>
      <c r="B564" s="917" t="s">
        <v>2139</v>
      </c>
      <c r="C564" s="164"/>
      <c r="D564" s="444"/>
      <c r="E564" s="784"/>
      <c r="H564" s="283"/>
      <c r="I564" s="283"/>
      <c r="K564" s="283"/>
      <c r="L564" s="283"/>
      <c r="M564" s="283"/>
      <c r="N564" s="283"/>
      <c r="O564" s="815"/>
      <c r="P564" s="164"/>
      <c r="Q564" s="93">
        <v>1000</v>
      </c>
      <c r="R564" s="93">
        <v>1000</v>
      </c>
      <c r="S564" s="1346" t="s">
        <v>4632</v>
      </c>
      <c r="T564" s="1346"/>
      <c r="U564" s="1346"/>
      <c r="X564" s="16"/>
      <c r="Y564" s="16"/>
    </row>
    <row r="565" spans="1:25" s="42" customFormat="1" ht="65.25" customHeight="1">
      <c r="A565" s="740"/>
      <c r="B565" s="917" t="s">
        <v>2140</v>
      </c>
      <c r="C565" s="164"/>
      <c r="D565" s="444"/>
      <c r="E565" s="784"/>
      <c r="H565" s="283"/>
      <c r="I565" s="283"/>
      <c r="K565" s="283"/>
      <c r="L565" s="283"/>
      <c r="M565" s="283"/>
      <c r="N565" s="283"/>
      <c r="O565" s="815"/>
      <c r="P565" s="164"/>
      <c r="Q565" s="93">
        <v>600</v>
      </c>
      <c r="R565" s="93">
        <v>600</v>
      </c>
      <c r="S565" s="1346" t="s">
        <v>4632</v>
      </c>
      <c r="T565" s="1346"/>
      <c r="U565" s="1346"/>
      <c r="X565" s="16"/>
      <c r="Y565" s="16"/>
    </row>
    <row r="566" spans="1:25" s="42" customFormat="1" ht="65.25" customHeight="1">
      <c r="A566" s="740"/>
      <c r="B566" s="917" t="s">
        <v>2141</v>
      </c>
      <c r="C566" s="164"/>
      <c r="D566" s="444"/>
      <c r="E566" s="784"/>
      <c r="H566" s="283"/>
      <c r="I566" s="283"/>
      <c r="K566" s="283"/>
      <c r="L566" s="283"/>
      <c r="M566" s="283"/>
      <c r="N566" s="283"/>
      <c r="O566" s="815"/>
      <c r="P566" s="164"/>
      <c r="Q566" s="93">
        <v>400</v>
      </c>
      <c r="R566" s="93">
        <v>400</v>
      </c>
      <c r="S566" s="1346" t="s">
        <v>4632</v>
      </c>
      <c r="T566" s="1346"/>
      <c r="U566" s="1346"/>
      <c r="X566" s="16"/>
      <c r="Y566" s="16"/>
    </row>
    <row r="567" spans="1:25" s="42" customFormat="1" ht="65.25" customHeight="1">
      <c r="A567" s="740"/>
      <c r="B567" s="917" t="s">
        <v>2142</v>
      </c>
      <c r="C567" s="164"/>
      <c r="D567" s="444"/>
      <c r="E567" s="784"/>
      <c r="H567" s="283"/>
      <c r="I567" s="283"/>
      <c r="K567" s="283"/>
      <c r="L567" s="283"/>
      <c r="M567" s="283"/>
      <c r="N567" s="283"/>
      <c r="O567" s="815"/>
      <c r="P567" s="164"/>
      <c r="Q567" s="93">
        <v>700</v>
      </c>
      <c r="R567" s="93">
        <v>700</v>
      </c>
      <c r="S567" s="1346" t="s">
        <v>4632</v>
      </c>
      <c r="T567" s="1346"/>
      <c r="U567" s="1346"/>
      <c r="X567" s="16"/>
      <c r="Y567" s="16"/>
    </row>
    <row r="568" spans="1:25" s="42" customFormat="1" ht="65.25" customHeight="1">
      <c r="A568" s="740"/>
      <c r="B568" s="917" t="s">
        <v>2143</v>
      </c>
      <c r="C568" s="164"/>
      <c r="D568" s="444"/>
      <c r="E568" s="784"/>
      <c r="H568" s="283"/>
      <c r="I568" s="283"/>
      <c r="K568" s="283"/>
      <c r="L568" s="283"/>
      <c r="M568" s="283"/>
      <c r="N568" s="283"/>
      <c r="O568" s="815"/>
      <c r="P568" s="164"/>
      <c r="Q568" s="93">
        <v>1000</v>
      </c>
      <c r="R568" s="93">
        <v>1000</v>
      </c>
      <c r="S568" s="1346" t="s">
        <v>4632</v>
      </c>
      <c r="T568" s="1346"/>
      <c r="U568" s="1346"/>
      <c r="X568" s="16"/>
      <c r="Y568" s="16"/>
    </row>
    <row r="569" spans="1:25" s="42" customFormat="1" ht="65.25" customHeight="1">
      <c r="A569" s="740"/>
      <c r="B569" s="917" t="s">
        <v>2144</v>
      </c>
      <c r="C569" s="164"/>
      <c r="D569" s="444"/>
      <c r="E569" s="784"/>
      <c r="H569" s="283"/>
      <c r="I569" s="283"/>
      <c r="K569" s="283"/>
      <c r="L569" s="283"/>
      <c r="M569" s="283"/>
      <c r="N569" s="283"/>
      <c r="O569" s="815"/>
      <c r="P569" s="164"/>
      <c r="Q569" s="93">
        <v>600</v>
      </c>
      <c r="R569" s="93">
        <v>600</v>
      </c>
      <c r="S569" s="1346" t="s">
        <v>4632</v>
      </c>
      <c r="T569" s="1346"/>
      <c r="U569" s="1346"/>
      <c r="X569" s="16"/>
      <c r="Y569" s="16"/>
    </row>
    <row r="570" spans="1:25" s="42" customFormat="1" ht="65.25" customHeight="1">
      <c r="A570" s="740"/>
      <c r="B570" s="917" t="s">
        <v>2145</v>
      </c>
      <c r="C570" s="164"/>
      <c r="D570" s="444"/>
      <c r="E570" s="784"/>
      <c r="H570" s="283"/>
      <c r="I570" s="283"/>
      <c r="K570" s="283"/>
      <c r="L570" s="283"/>
      <c r="M570" s="283"/>
      <c r="N570" s="283"/>
      <c r="O570" s="815"/>
      <c r="P570" s="164"/>
      <c r="Q570" s="93">
        <v>1000</v>
      </c>
      <c r="R570" s="93">
        <v>1000</v>
      </c>
      <c r="S570" s="1346" t="s">
        <v>4632</v>
      </c>
      <c r="T570" s="1346"/>
      <c r="U570" s="1346"/>
      <c r="X570" s="16"/>
      <c r="Y570" s="16"/>
    </row>
    <row r="571" spans="1:25" s="42" customFormat="1" ht="65.25" customHeight="1">
      <c r="A571" s="740"/>
      <c r="B571" s="917" t="s">
        <v>2146</v>
      </c>
      <c r="C571" s="164"/>
      <c r="D571" s="444"/>
      <c r="E571" s="784"/>
      <c r="H571" s="283"/>
      <c r="I571" s="283"/>
      <c r="K571" s="283"/>
      <c r="L571" s="283"/>
      <c r="M571" s="283"/>
      <c r="N571" s="283"/>
      <c r="O571" s="815"/>
      <c r="P571" s="164"/>
      <c r="Q571" s="93">
        <v>700</v>
      </c>
      <c r="R571" s="93">
        <v>700</v>
      </c>
      <c r="S571" s="1346" t="s">
        <v>4632</v>
      </c>
      <c r="T571" s="1346"/>
      <c r="U571" s="1346"/>
      <c r="X571" s="16"/>
      <c r="Y571" s="16"/>
    </row>
    <row r="572" spans="1:25" s="42" customFormat="1" ht="65.25" customHeight="1">
      <c r="A572" s="740"/>
      <c r="B572" s="917" t="s">
        <v>2147</v>
      </c>
      <c r="C572" s="164"/>
      <c r="D572" s="444"/>
      <c r="E572" s="784"/>
      <c r="H572" s="283"/>
      <c r="I572" s="283"/>
      <c r="K572" s="283"/>
      <c r="L572" s="283"/>
      <c r="M572" s="283"/>
      <c r="N572" s="283"/>
      <c r="O572" s="815"/>
      <c r="P572" s="164"/>
      <c r="Q572" s="93">
        <v>10000</v>
      </c>
      <c r="R572" s="93">
        <v>10000</v>
      </c>
      <c r="S572" s="1346" t="s">
        <v>4632</v>
      </c>
      <c r="T572" s="1346"/>
      <c r="U572" s="1346"/>
      <c r="X572" s="16"/>
      <c r="Y572" s="16"/>
    </row>
    <row r="573" spans="1:25" s="42" customFormat="1" ht="65.25" customHeight="1">
      <c r="A573" s="740"/>
      <c r="B573" s="917" t="s">
        <v>2148</v>
      </c>
      <c r="C573" s="164"/>
      <c r="D573" s="444"/>
      <c r="E573" s="784"/>
      <c r="H573" s="283"/>
      <c r="I573" s="283"/>
      <c r="K573" s="283"/>
      <c r="L573" s="283"/>
      <c r="M573" s="283"/>
      <c r="N573" s="283"/>
      <c r="O573" s="815"/>
      <c r="P573" s="164"/>
      <c r="Q573" s="93">
        <v>20000</v>
      </c>
      <c r="R573" s="93">
        <v>20000</v>
      </c>
      <c r="S573" s="1346" t="s">
        <v>4632</v>
      </c>
      <c r="T573" s="1346"/>
      <c r="U573" s="1346"/>
      <c r="X573" s="16"/>
      <c r="Y573" s="16"/>
    </row>
    <row r="574" spans="1:25" s="42" customFormat="1" ht="20.25" customHeight="1">
      <c r="A574" s="740"/>
      <c r="B574" s="917" t="s">
        <v>2149</v>
      </c>
      <c r="C574" s="164"/>
      <c r="D574" s="444"/>
      <c r="E574" s="784"/>
      <c r="H574" s="283"/>
      <c r="I574" s="283"/>
      <c r="K574" s="283"/>
      <c r="L574" s="283"/>
      <c r="M574" s="283"/>
      <c r="N574" s="283"/>
      <c r="O574" s="815"/>
      <c r="P574" s="164"/>
      <c r="Q574" s="93">
        <v>800</v>
      </c>
      <c r="R574" s="93">
        <v>800</v>
      </c>
      <c r="S574" s="1346" t="s">
        <v>4644</v>
      </c>
      <c r="T574" s="1346"/>
      <c r="U574" s="1346"/>
      <c r="X574" s="16"/>
      <c r="Y574" s="16"/>
    </row>
    <row r="575" spans="1:25" s="42" customFormat="1" ht="21.75" customHeight="1">
      <c r="A575" s="740"/>
      <c r="B575" s="917" t="s">
        <v>2150</v>
      </c>
      <c r="C575" s="164"/>
      <c r="D575" s="444"/>
      <c r="E575" s="784"/>
      <c r="H575" s="283"/>
      <c r="I575" s="283"/>
      <c r="K575" s="283"/>
      <c r="L575" s="283"/>
      <c r="M575" s="283"/>
      <c r="N575" s="283"/>
      <c r="O575" s="815"/>
      <c r="P575" s="164"/>
      <c r="Q575" s="93">
        <v>800</v>
      </c>
      <c r="R575" s="93">
        <v>800</v>
      </c>
      <c r="S575" s="894" t="s">
        <v>4645</v>
      </c>
      <c r="T575" s="933"/>
      <c r="U575" s="933"/>
      <c r="X575" s="16"/>
      <c r="Y575" s="16"/>
    </row>
    <row r="576" spans="1:25" s="42" customFormat="1" ht="65.25" customHeight="1">
      <c r="A576" s="740"/>
      <c r="B576" s="917" t="s">
        <v>2151</v>
      </c>
      <c r="C576" s="164"/>
      <c r="D576" s="444"/>
      <c r="E576" s="784"/>
      <c r="H576" s="283"/>
      <c r="I576" s="283"/>
      <c r="K576" s="283"/>
      <c r="L576" s="283"/>
      <c r="M576" s="283"/>
      <c r="N576" s="283"/>
      <c r="O576" s="815"/>
      <c r="P576" s="164"/>
      <c r="Q576" s="93">
        <v>700</v>
      </c>
      <c r="R576" s="93">
        <v>700</v>
      </c>
      <c r="S576" s="1346" t="s">
        <v>4632</v>
      </c>
      <c r="T576" s="1346"/>
      <c r="U576" s="1346"/>
      <c r="X576" s="16"/>
      <c r="Y576" s="16"/>
    </row>
    <row r="577" spans="1:25" s="42" customFormat="1" ht="65.25" customHeight="1">
      <c r="A577" s="740"/>
      <c r="B577" s="917" t="s">
        <v>2152</v>
      </c>
      <c r="C577" s="164"/>
      <c r="D577" s="444"/>
      <c r="E577" s="784"/>
      <c r="H577" s="283"/>
      <c r="I577" s="283"/>
      <c r="K577" s="283"/>
      <c r="L577" s="283"/>
      <c r="M577" s="283"/>
      <c r="N577" s="283"/>
      <c r="O577" s="815"/>
      <c r="P577" s="164"/>
      <c r="Q577" s="93">
        <v>600</v>
      </c>
      <c r="R577" s="93">
        <v>600</v>
      </c>
      <c r="S577" s="1346" t="s">
        <v>4632</v>
      </c>
      <c r="T577" s="1346"/>
      <c r="U577" s="1346"/>
      <c r="X577" s="16"/>
      <c r="Y577" s="16"/>
    </row>
    <row r="578" spans="1:25" s="42" customFormat="1" ht="65.25" customHeight="1">
      <c r="A578" s="740"/>
      <c r="B578" s="917" t="s">
        <v>2153</v>
      </c>
      <c r="C578" s="164"/>
      <c r="D578" s="444"/>
      <c r="E578" s="784"/>
      <c r="H578" s="283"/>
      <c r="I578" s="283"/>
      <c r="K578" s="283"/>
      <c r="L578" s="283"/>
      <c r="M578" s="283"/>
      <c r="N578" s="283"/>
      <c r="O578" s="815"/>
      <c r="P578" s="164"/>
      <c r="Q578" s="93">
        <v>700</v>
      </c>
      <c r="R578" s="93">
        <v>700</v>
      </c>
      <c r="S578" s="1346" t="s">
        <v>4632</v>
      </c>
      <c r="T578" s="1346"/>
      <c r="U578" s="1346"/>
      <c r="X578" s="16"/>
      <c r="Y578" s="16"/>
    </row>
    <row r="579" spans="1:25" s="42" customFormat="1" ht="65.25" customHeight="1">
      <c r="A579" s="740"/>
      <c r="B579" s="917" t="s">
        <v>2154</v>
      </c>
      <c r="C579" s="164"/>
      <c r="D579" s="444"/>
      <c r="E579" s="784"/>
      <c r="H579" s="283"/>
      <c r="I579" s="283"/>
      <c r="K579" s="283"/>
      <c r="L579" s="283"/>
      <c r="M579" s="283"/>
      <c r="N579" s="283"/>
      <c r="O579" s="815"/>
      <c r="P579" s="164"/>
      <c r="Q579" s="93">
        <v>500</v>
      </c>
      <c r="R579" s="93">
        <v>500</v>
      </c>
      <c r="S579" s="1346" t="s">
        <v>4632</v>
      </c>
      <c r="T579" s="1346"/>
      <c r="U579" s="1346"/>
      <c r="X579" s="16"/>
      <c r="Y579" s="16"/>
    </row>
    <row r="580" spans="1:25" s="42" customFormat="1" ht="15">
      <c r="A580" s="740"/>
      <c r="B580" s="446"/>
      <c r="C580" s="164"/>
      <c r="D580" s="444"/>
      <c r="E580" s="647"/>
      <c r="H580" s="283"/>
      <c r="I580" s="283"/>
      <c r="K580" s="283"/>
      <c r="L580" s="283"/>
      <c r="M580" s="283"/>
      <c r="N580" s="283"/>
      <c r="O580" s="815"/>
      <c r="P580" s="164"/>
      <c r="Q580" s="351"/>
      <c r="R580" s="351"/>
      <c r="S580" s="933"/>
      <c r="T580" s="933"/>
      <c r="U580" s="933"/>
      <c r="X580" s="16"/>
      <c r="Y580" s="16"/>
    </row>
    <row r="581" spans="1:25" s="42" customFormat="1" ht="15">
      <c r="A581" s="740"/>
      <c r="B581" s="446" t="s">
        <v>1561</v>
      </c>
      <c r="C581" s="164" t="s">
        <v>2155</v>
      </c>
      <c r="D581" s="444">
        <v>40876</v>
      </c>
      <c r="E581" s="647"/>
      <c r="F581" s="42" t="s">
        <v>315</v>
      </c>
      <c r="H581" s="283"/>
      <c r="I581" s="283"/>
      <c r="K581" s="283">
        <v>248700</v>
      </c>
      <c r="L581" s="283"/>
      <c r="M581" s="283">
        <f t="shared" si="98"/>
        <v>248700</v>
      </c>
      <c r="N581" s="283"/>
      <c r="O581" s="815"/>
      <c r="P581" s="164" t="s">
        <v>104</v>
      </c>
      <c r="Q581" s="522">
        <f>SUM(Q582:Q676)</f>
        <v>248700</v>
      </c>
      <c r="R581" s="522">
        <f>SUM(R582:R676)</f>
        <v>248700</v>
      </c>
      <c r="S581" s="1328" t="s">
        <v>6013</v>
      </c>
      <c r="T581" s="1328"/>
      <c r="U581" s="1328"/>
      <c r="W581" s="42" t="s">
        <v>2002</v>
      </c>
      <c r="X581" s="16">
        <f t="shared" si="97"/>
        <v>248700</v>
      </c>
      <c r="Y581" s="16">
        <f>X581-M581</f>
        <v>0</v>
      </c>
    </row>
    <row r="582" spans="1:25" s="42" customFormat="1" ht="15" customHeight="1">
      <c r="A582" s="740"/>
      <c r="B582" s="530" t="s">
        <v>2156</v>
      </c>
      <c r="C582" s="164"/>
      <c r="D582" s="444"/>
      <c r="E582" s="329"/>
      <c r="H582" s="283"/>
      <c r="I582" s="283"/>
      <c r="K582" s="283"/>
      <c r="L582" s="283"/>
      <c r="M582" s="283"/>
      <c r="N582" s="283"/>
      <c r="O582" s="815"/>
      <c r="P582" s="164"/>
      <c r="Q582" s="529">
        <v>400</v>
      </c>
      <c r="R582" s="529">
        <v>400</v>
      </c>
      <c r="S582" s="1065"/>
      <c r="T582" s="1048"/>
      <c r="U582" s="1048"/>
      <c r="X582" s="16"/>
      <c r="Y582" s="16"/>
    </row>
    <row r="583" spans="1:25" s="42" customFormat="1" ht="15">
      <c r="A583" s="740"/>
      <c r="B583" s="530" t="s">
        <v>1564</v>
      </c>
      <c r="C583" s="164"/>
      <c r="D583" s="444"/>
      <c r="E583" s="329"/>
      <c r="H583" s="283"/>
      <c r="I583" s="283"/>
      <c r="K583" s="283"/>
      <c r="L583" s="283"/>
      <c r="M583" s="283"/>
      <c r="N583" s="283"/>
      <c r="O583" s="815"/>
      <c r="P583" s="164"/>
      <c r="Q583" s="529">
        <v>400</v>
      </c>
      <c r="R583" s="529">
        <v>400</v>
      </c>
      <c r="S583" s="1062"/>
      <c r="T583" s="1048"/>
      <c r="U583" s="1048"/>
      <c r="X583" s="16"/>
      <c r="Y583" s="16"/>
    </row>
    <row r="584" spans="1:25" s="42" customFormat="1" ht="15">
      <c r="A584" s="740"/>
      <c r="B584" s="530" t="s">
        <v>1566</v>
      </c>
      <c r="C584" s="164"/>
      <c r="D584" s="444"/>
      <c r="E584" s="329"/>
      <c r="H584" s="283"/>
      <c r="I584" s="283"/>
      <c r="K584" s="283"/>
      <c r="L584" s="283"/>
      <c r="M584" s="283"/>
      <c r="N584" s="283"/>
      <c r="O584" s="815"/>
      <c r="P584" s="164"/>
      <c r="Q584" s="529">
        <v>300</v>
      </c>
      <c r="R584" s="529">
        <v>300</v>
      </c>
      <c r="S584" s="1062"/>
      <c r="T584" s="1048"/>
      <c r="U584" s="1048"/>
      <c r="X584" s="16"/>
      <c r="Y584" s="16"/>
    </row>
    <row r="585" spans="1:25" s="42" customFormat="1" ht="15">
      <c r="A585" s="740"/>
      <c r="B585" s="530" t="s">
        <v>1919</v>
      </c>
      <c r="C585" s="164"/>
      <c r="D585" s="444"/>
      <c r="E585" s="329"/>
      <c r="H585" s="283"/>
      <c r="I585" s="283"/>
      <c r="K585" s="283"/>
      <c r="L585" s="283"/>
      <c r="M585" s="283"/>
      <c r="N585" s="283"/>
      <c r="O585" s="815"/>
      <c r="P585" s="164"/>
      <c r="Q585" s="529">
        <v>300</v>
      </c>
      <c r="R585" s="529">
        <v>300</v>
      </c>
      <c r="S585" s="1062"/>
      <c r="T585" s="1048"/>
      <c r="U585" s="1048"/>
      <c r="X585" s="16"/>
      <c r="Y585" s="16"/>
    </row>
    <row r="586" spans="1:25" s="42" customFormat="1" ht="15">
      <c r="A586" s="740"/>
      <c r="B586" s="530" t="s">
        <v>2157</v>
      </c>
      <c r="C586" s="164"/>
      <c r="D586" s="444"/>
      <c r="E586" s="329"/>
      <c r="H586" s="283"/>
      <c r="I586" s="283"/>
      <c r="K586" s="283"/>
      <c r="L586" s="283"/>
      <c r="M586" s="283"/>
      <c r="N586" s="283"/>
      <c r="O586" s="815"/>
      <c r="P586" s="164"/>
      <c r="Q586" s="529">
        <v>300</v>
      </c>
      <c r="R586" s="529">
        <v>300</v>
      </c>
      <c r="S586" s="1062"/>
      <c r="T586" s="1048"/>
      <c r="U586" s="1048"/>
      <c r="X586" s="16"/>
      <c r="Y586" s="16"/>
    </row>
    <row r="587" spans="1:25" s="42" customFormat="1" ht="15">
      <c r="A587" s="740"/>
      <c r="B587" s="530" t="s">
        <v>2158</v>
      </c>
      <c r="C587" s="164"/>
      <c r="D587" s="444"/>
      <c r="E587" s="329"/>
      <c r="H587" s="283"/>
      <c r="I587" s="283"/>
      <c r="K587" s="283"/>
      <c r="L587" s="283"/>
      <c r="M587" s="283"/>
      <c r="N587" s="283"/>
      <c r="O587" s="815"/>
      <c r="P587" s="164"/>
      <c r="Q587" s="529">
        <v>300</v>
      </c>
      <c r="R587" s="529">
        <v>300</v>
      </c>
      <c r="S587" s="1062"/>
      <c r="T587" s="1048"/>
      <c r="U587" s="1048"/>
      <c r="X587" s="16"/>
      <c r="Y587" s="16"/>
    </row>
    <row r="588" spans="1:25" s="42" customFormat="1" ht="15">
      <c r="A588" s="740"/>
      <c r="B588" s="530" t="s">
        <v>2159</v>
      </c>
      <c r="C588" s="164"/>
      <c r="D588" s="444"/>
      <c r="E588" s="329"/>
      <c r="H588" s="283"/>
      <c r="I588" s="283"/>
      <c r="K588" s="283"/>
      <c r="L588" s="283"/>
      <c r="M588" s="283"/>
      <c r="N588" s="283"/>
      <c r="O588" s="815"/>
      <c r="P588" s="164"/>
      <c r="Q588" s="529">
        <v>800</v>
      </c>
      <c r="R588" s="529">
        <v>800</v>
      </c>
      <c r="S588" s="1062" t="s">
        <v>6014</v>
      </c>
      <c r="T588" s="1048"/>
      <c r="U588" s="1048"/>
      <c r="X588" s="16"/>
      <c r="Y588" s="16"/>
    </row>
    <row r="589" spans="1:25" s="42" customFormat="1" ht="15">
      <c r="A589" s="740"/>
      <c r="B589" s="530" t="s">
        <v>2160</v>
      </c>
      <c r="C589" s="164"/>
      <c r="D589" s="444"/>
      <c r="E589" s="329"/>
      <c r="H589" s="283"/>
      <c r="I589" s="283"/>
      <c r="K589" s="283"/>
      <c r="L589" s="283"/>
      <c r="M589" s="283"/>
      <c r="N589" s="283"/>
      <c r="O589" s="815"/>
      <c r="P589" s="164"/>
      <c r="Q589" s="529">
        <v>900</v>
      </c>
      <c r="R589" s="529">
        <v>900</v>
      </c>
      <c r="S589" s="1062"/>
      <c r="T589" s="1048"/>
      <c r="U589" s="1048"/>
      <c r="X589" s="16"/>
      <c r="Y589" s="16"/>
    </row>
    <row r="590" spans="1:25" s="42" customFormat="1" ht="15">
      <c r="A590" s="740"/>
      <c r="B590" s="530" t="s">
        <v>2161</v>
      </c>
      <c r="C590" s="164"/>
      <c r="D590" s="444"/>
      <c r="E590" s="329"/>
      <c r="H590" s="283"/>
      <c r="I590" s="283"/>
      <c r="K590" s="283"/>
      <c r="L590" s="283"/>
      <c r="M590" s="283"/>
      <c r="N590" s="283"/>
      <c r="O590" s="815"/>
      <c r="P590" s="164"/>
      <c r="Q590" s="529">
        <v>1000</v>
      </c>
      <c r="R590" s="529">
        <v>1000</v>
      </c>
      <c r="S590" s="1062" t="s">
        <v>6015</v>
      </c>
      <c r="T590" s="1048"/>
      <c r="U590" s="1048"/>
      <c r="X590" s="16"/>
      <c r="Y590" s="16"/>
    </row>
    <row r="591" spans="1:25" s="42" customFormat="1" ht="15">
      <c r="A591" s="740"/>
      <c r="B591" s="530" t="s">
        <v>2162</v>
      </c>
      <c r="C591" s="164"/>
      <c r="D591" s="444"/>
      <c r="E591" s="329"/>
      <c r="H591" s="283"/>
      <c r="I591" s="283"/>
      <c r="K591" s="283"/>
      <c r="L591" s="283"/>
      <c r="M591" s="283"/>
      <c r="N591" s="283"/>
      <c r="O591" s="815"/>
      <c r="P591" s="164"/>
      <c r="Q591" s="529">
        <v>1000</v>
      </c>
      <c r="R591" s="529">
        <v>1000</v>
      </c>
      <c r="S591" s="1062" t="s">
        <v>6016</v>
      </c>
      <c r="T591" s="1048"/>
      <c r="U591" s="1048"/>
      <c r="X591" s="16"/>
      <c r="Y591" s="16"/>
    </row>
    <row r="592" spans="1:25" s="42" customFormat="1" ht="15">
      <c r="A592" s="740"/>
      <c r="B592" s="530" t="s">
        <v>2163</v>
      </c>
      <c r="C592" s="164"/>
      <c r="D592" s="444"/>
      <c r="E592" s="329"/>
      <c r="H592" s="283"/>
      <c r="I592" s="283"/>
      <c r="K592" s="283"/>
      <c r="L592" s="283"/>
      <c r="M592" s="283"/>
      <c r="N592" s="283"/>
      <c r="O592" s="815"/>
      <c r="P592" s="164"/>
      <c r="Q592" s="529">
        <v>1000</v>
      </c>
      <c r="R592" s="529">
        <v>1000</v>
      </c>
      <c r="S592" s="1062"/>
      <c r="T592" s="1048"/>
      <c r="U592" s="1048"/>
      <c r="X592" s="16"/>
      <c r="Y592" s="16"/>
    </row>
    <row r="593" spans="1:25" s="42" customFormat="1" ht="15">
      <c r="A593" s="740"/>
      <c r="B593" s="530" t="s">
        <v>2164</v>
      </c>
      <c r="C593" s="164"/>
      <c r="D593" s="444"/>
      <c r="E593" s="329"/>
      <c r="H593" s="283"/>
      <c r="I593" s="283"/>
      <c r="K593" s="283"/>
      <c r="L593" s="283"/>
      <c r="M593" s="283"/>
      <c r="N593" s="283"/>
      <c r="O593" s="815"/>
      <c r="P593" s="164"/>
      <c r="Q593" s="529">
        <v>2000</v>
      </c>
      <c r="R593" s="529">
        <v>2000</v>
      </c>
      <c r="S593" s="1062"/>
      <c r="T593" s="1048"/>
      <c r="U593" s="1048"/>
      <c r="X593" s="16"/>
      <c r="Y593" s="16"/>
    </row>
    <row r="594" spans="1:25" s="42" customFormat="1" ht="15">
      <c r="A594" s="740"/>
      <c r="B594" s="530" t="s">
        <v>2165</v>
      </c>
      <c r="C594" s="164"/>
      <c r="D594" s="444"/>
      <c r="E594" s="329"/>
      <c r="H594" s="283"/>
      <c r="I594" s="283"/>
      <c r="K594" s="283"/>
      <c r="L594" s="283"/>
      <c r="M594" s="283"/>
      <c r="N594" s="283"/>
      <c r="O594" s="815"/>
      <c r="P594" s="164"/>
      <c r="Q594" s="529">
        <v>800</v>
      </c>
      <c r="R594" s="529">
        <v>800</v>
      </c>
      <c r="S594" s="1062"/>
      <c r="T594" s="1048"/>
      <c r="U594" s="1048"/>
      <c r="X594" s="16"/>
      <c r="Y594" s="16"/>
    </row>
    <row r="595" spans="1:25" s="42" customFormat="1" ht="15">
      <c r="A595" s="740"/>
      <c r="B595" s="530" t="s">
        <v>2166</v>
      </c>
      <c r="C595" s="164"/>
      <c r="D595" s="444"/>
      <c r="E595" s="329"/>
      <c r="H595" s="283"/>
      <c r="I595" s="283"/>
      <c r="K595" s="283"/>
      <c r="L595" s="283"/>
      <c r="M595" s="283"/>
      <c r="N595" s="283"/>
      <c r="O595" s="815"/>
      <c r="P595" s="164"/>
      <c r="Q595" s="529">
        <v>800</v>
      </c>
      <c r="R595" s="529">
        <v>800</v>
      </c>
      <c r="S595" s="1062"/>
      <c r="T595" s="1048"/>
      <c r="U595" s="1048"/>
      <c r="X595" s="16"/>
      <c r="Y595" s="16"/>
    </row>
    <row r="596" spans="1:25" s="42" customFormat="1" ht="15">
      <c r="A596" s="740"/>
      <c r="B596" s="530" t="s">
        <v>2167</v>
      </c>
      <c r="C596" s="164"/>
      <c r="D596" s="444"/>
      <c r="E596" s="329"/>
      <c r="H596" s="283"/>
      <c r="I596" s="283"/>
      <c r="K596" s="283"/>
      <c r="L596" s="283"/>
      <c r="M596" s="283"/>
      <c r="N596" s="283"/>
      <c r="O596" s="815"/>
      <c r="P596" s="164"/>
      <c r="Q596" s="529">
        <v>1000</v>
      </c>
      <c r="R596" s="529">
        <v>1000</v>
      </c>
      <c r="S596" s="1062"/>
      <c r="T596" s="1048"/>
      <c r="U596" s="1048"/>
      <c r="X596" s="16"/>
      <c r="Y596" s="16"/>
    </row>
    <row r="597" spans="1:25" s="42" customFormat="1" ht="15">
      <c r="A597" s="740"/>
      <c r="B597" s="530" t="s">
        <v>2168</v>
      </c>
      <c r="C597" s="164"/>
      <c r="D597" s="444"/>
      <c r="E597" s="329"/>
      <c r="H597" s="283"/>
      <c r="I597" s="283"/>
      <c r="K597" s="283"/>
      <c r="L597" s="283"/>
      <c r="M597" s="283"/>
      <c r="N597" s="283"/>
      <c r="O597" s="815"/>
      <c r="P597" s="164"/>
      <c r="Q597" s="529">
        <v>600</v>
      </c>
      <c r="R597" s="529">
        <v>600</v>
      </c>
      <c r="S597" s="1062"/>
      <c r="T597" s="1048"/>
      <c r="U597" s="1048"/>
      <c r="X597" s="16"/>
      <c r="Y597" s="16"/>
    </row>
    <row r="598" spans="1:25" s="42" customFormat="1" ht="15">
      <c r="A598" s="740"/>
      <c r="B598" s="530" t="s">
        <v>2169</v>
      </c>
      <c r="C598" s="164"/>
      <c r="D598" s="444"/>
      <c r="E598" s="329"/>
      <c r="H598" s="283"/>
      <c r="I598" s="283"/>
      <c r="K598" s="283"/>
      <c r="L598" s="283"/>
      <c r="M598" s="283"/>
      <c r="N598" s="283"/>
      <c r="O598" s="815"/>
      <c r="P598" s="164"/>
      <c r="Q598" s="529">
        <v>800</v>
      </c>
      <c r="R598" s="529">
        <v>800</v>
      </c>
      <c r="S598" s="1062"/>
      <c r="T598" s="1048"/>
      <c r="U598" s="1048"/>
      <c r="X598" s="16"/>
      <c r="Y598" s="16"/>
    </row>
    <row r="599" spans="1:25" s="42" customFormat="1" ht="15">
      <c r="A599" s="740"/>
      <c r="B599" s="530" t="s">
        <v>2170</v>
      </c>
      <c r="C599" s="164"/>
      <c r="D599" s="444"/>
      <c r="E599" s="329"/>
      <c r="H599" s="283"/>
      <c r="I599" s="283"/>
      <c r="K599" s="283"/>
      <c r="L599" s="283"/>
      <c r="M599" s="283"/>
      <c r="N599" s="283"/>
      <c r="O599" s="815"/>
      <c r="P599" s="164"/>
      <c r="Q599" s="529">
        <v>800</v>
      </c>
      <c r="R599" s="529">
        <v>800</v>
      </c>
      <c r="S599" s="1062"/>
      <c r="T599" s="1048"/>
      <c r="U599" s="1048"/>
      <c r="X599" s="16"/>
      <c r="Y599" s="16"/>
    </row>
    <row r="600" spans="1:25" s="42" customFormat="1" ht="15">
      <c r="A600" s="740"/>
      <c r="B600" s="530" t="s">
        <v>2171</v>
      </c>
      <c r="C600" s="164"/>
      <c r="D600" s="444"/>
      <c r="E600" s="329"/>
      <c r="H600" s="283"/>
      <c r="I600" s="283"/>
      <c r="K600" s="283"/>
      <c r="L600" s="283"/>
      <c r="M600" s="283"/>
      <c r="N600" s="283"/>
      <c r="O600" s="815"/>
      <c r="P600" s="164"/>
      <c r="Q600" s="529">
        <v>1000</v>
      </c>
      <c r="R600" s="529">
        <v>1000</v>
      </c>
      <c r="S600" s="1062"/>
      <c r="T600" s="1048"/>
      <c r="U600" s="1048"/>
      <c r="X600" s="16"/>
      <c r="Y600" s="16"/>
    </row>
    <row r="601" spans="1:25" s="42" customFormat="1" ht="15">
      <c r="A601" s="740"/>
      <c r="B601" s="530" t="s">
        <v>2172</v>
      </c>
      <c r="C601" s="164"/>
      <c r="D601" s="444"/>
      <c r="E601" s="329"/>
      <c r="H601" s="283"/>
      <c r="I601" s="283"/>
      <c r="K601" s="283"/>
      <c r="L601" s="283"/>
      <c r="M601" s="283"/>
      <c r="N601" s="283"/>
      <c r="O601" s="815"/>
      <c r="P601" s="164"/>
      <c r="Q601" s="529">
        <v>1000</v>
      </c>
      <c r="R601" s="529">
        <v>1000</v>
      </c>
      <c r="S601" s="1062"/>
      <c r="T601" s="1048"/>
      <c r="U601" s="1048"/>
      <c r="X601" s="16"/>
      <c r="Y601" s="16"/>
    </row>
    <row r="602" spans="1:25" s="42" customFormat="1" ht="15">
      <c r="A602" s="740"/>
      <c r="B602" s="530" t="s">
        <v>2173</v>
      </c>
      <c r="C602" s="164"/>
      <c r="D602" s="444"/>
      <c r="E602" s="329"/>
      <c r="H602" s="283"/>
      <c r="I602" s="283"/>
      <c r="K602" s="283"/>
      <c r="L602" s="283"/>
      <c r="M602" s="283"/>
      <c r="N602" s="283"/>
      <c r="O602" s="815"/>
      <c r="P602" s="164"/>
      <c r="Q602" s="529">
        <v>700</v>
      </c>
      <c r="R602" s="529">
        <v>700</v>
      </c>
      <c r="S602" s="1062"/>
      <c r="T602" s="1048"/>
      <c r="U602" s="1048"/>
      <c r="X602" s="16"/>
      <c r="Y602" s="16"/>
    </row>
    <row r="603" spans="1:25" s="42" customFormat="1" ht="15">
      <c r="A603" s="740"/>
      <c r="B603" s="530" t="s">
        <v>2174</v>
      </c>
      <c r="C603" s="164"/>
      <c r="D603" s="444"/>
      <c r="E603" s="329"/>
      <c r="H603" s="283"/>
      <c r="I603" s="283"/>
      <c r="K603" s="283"/>
      <c r="L603" s="283"/>
      <c r="M603" s="283"/>
      <c r="N603" s="283"/>
      <c r="O603" s="815"/>
      <c r="P603" s="164"/>
      <c r="Q603" s="529">
        <v>1000</v>
      </c>
      <c r="R603" s="529">
        <v>1000</v>
      </c>
      <c r="S603" s="1062"/>
      <c r="T603" s="1048"/>
      <c r="U603" s="1048"/>
      <c r="X603" s="16"/>
      <c r="Y603" s="16"/>
    </row>
    <row r="604" spans="1:25" s="42" customFormat="1" ht="15">
      <c r="A604" s="740"/>
      <c r="B604" s="530" t="s">
        <v>2175</v>
      </c>
      <c r="C604" s="164"/>
      <c r="D604" s="444"/>
      <c r="E604" s="329"/>
      <c r="H604" s="283"/>
      <c r="I604" s="283"/>
      <c r="K604" s="283"/>
      <c r="L604" s="283"/>
      <c r="M604" s="283"/>
      <c r="N604" s="283"/>
      <c r="O604" s="815"/>
      <c r="P604" s="164"/>
      <c r="Q604" s="529">
        <v>900</v>
      </c>
      <c r="R604" s="529">
        <v>900</v>
      </c>
      <c r="S604" s="1062"/>
      <c r="T604" s="1048"/>
      <c r="U604" s="1048"/>
      <c r="X604" s="16"/>
      <c r="Y604" s="16"/>
    </row>
    <row r="605" spans="1:25" s="42" customFormat="1" ht="15">
      <c r="A605" s="740"/>
      <c r="B605" s="530" t="s">
        <v>2176</v>
      </c>
      <c r="C605" s="164"/>
      <c r="D605" s="444"/>
      <c r="E605" s="329"/>
      <c r="H605" s="283"/>
      <c r="I605" s="283"/>
      <c r="K605" s="283"/>
      <c r="L605" s="283"/>
      <c r="M605" s="283"/>
      <c r="N605" s="283"/>
      <c r="O605" s="815"/>
      <c r="P605" s="164"/>
      <c r="Q605" s="529">
        <v>700</v>
      </c>
      <c r="R605" s="529">
        <v>700</v>
      </c>
      <c r="S605" s="1062" t="s">
        <v>6017</v>
      </c>
      <c r="T605" s="1048"/>
      <c r="U605" s="1048"/>
      <c r="X605" s="16"/>
      <c r="Y605" s="16"/>
    </row>
    <row r="606" spans="1:25" s="42" customFormat="1" ht="15">
      <c r="A606" s="740"/>
      <c r="B606" s="530" t="s">
        <v>2177</v>
      </c>
      <c r="C606" s="164"/>
      <c r="D606" s="444"/>
      <c r="E606" s="329"/>
      <c r="H606" s="283"/>
      <c r="I606" s="283"/>
      <c r="K606" s="283"/>
      <c r="L606" s="283"/>
      <c r="M606" s="283"/>
      <c r="N606" s="283"/>
      <c r="O606" s="815"/>
      <c r="P606" s="164"/>
      <c r="Q606" s="529">
        <v>2000</v>
      </c>
      <c r="R606" s="529">
        <v>2000</v>
      </c>
      <c r="S606" s="1062"/>
      <c r="T606" s="1048"/>
      <c r="U606" s="1048"/>
      <c r="X606" s="16"/>
      <c r="Y606" s="16"/>
    </row>
    <row r="607" spans="1:25" s="42" customFormat="1" ht="15">
      <c r="A607" s="740"/>
      <c r="B607" s="530" t="s">
        <v>2178</v>
      </c>
      <c r="C607" s="164"/>
      <c r="D607" s="444"/>
      <c r="E607" s="329"/>
      <c r="H607" s="283"/>
      <c r="I607" s="283"/>
      <c r="K607" s="283"/>
      <c r="L607" s="283"/>
      <c r="M607" s="283"/>
      <c r="N607" s="283"/>
      <c r="O607" s="815"/>
      <c r="P607" s="164"/>
      <c r="Q607" s="529">
        <v>700</v>
      </c>
      <c r="R607" s="529">
        <v>700</v>
      </c>
      <c r="S607" s="1062" t="s">
        <v>6018</v>
      </c>
      <c r="T607" s="1048"/>
      <c r="U607" s="1048"/>
      <c r="X607" s="16"/>
      <c r="Y607" s="16"/>
    </row>
    <row r="608" spans="1:25" s="42" customFormat="1" ht="15">
      <c r="A608" s="740"/>
      <c r="B608" s="530" t="s">
        <v>2179</v>
      </c>
      <c r="C608" s="164"/>
      <c r="D608" s="444"/>
      <c r="E608" s="329"/>
      <c r="H608" s="283"/>
      <c r="I608" s="283"/>
      <c r="K608" s="283"/>
      <c r="L608" s="283"/>
      <c r="M608" s="283"/>
      <c r="N608" s="283"/>
      <c r="O608" s="815"/>
      <c r="P608" s="164"/>
      <c r="Q608" s="529">
        <v>600</v>
      </c>
      <c r="R608" s="529">
        <v>600</v>
      </c>
      <c r="S608" s="1062"/>
      <c r="T608" s="1048"/>
      <c r="U608" s="1048"/>
      <c r="X608" s="16"/>
      <c r="Y608" s="16"/>
    </row>
    <row r="609" spans="1:25" s="42" customFormat="1" ht="15">
      <c r="A609" s="740"/>
      <c r="B609" s="530" t="s">
        <v>2180</v>
      </c>
      <c r="C609" s="164"/>
      <c r="D609" s="444"/>
      <c r="E609" s="329"/>
      <c r="H609" s="283"/>
      <c r="I609" s="283"/>
      <c r="K609" s="283"/>
      <c r="L609" s="283"/>
      <c r="M609" s="283"/>
      <c r="N609" s="283"/>
      <c r="O609" s="815"/>
      <c r="P609" s="164"/>
      <c r="Q609" s="529">
        <v>800</v>
      </c>
      <c r="R609" s="529">
        <v>800</v>
      </c>
      <c r="S609" s="1062"/>
      <c r="T609" s="1048"/>
      <c r="U609" s="1048"/>
      <c r="X609" s="16"/>
      <c r="Y609" s="16"/>
    </row>
    <row r="610" spans="1:25" s="42" customFormat="1" ht="15">
      <c r="A610" s="740"/>
      <c r="B610" s="530" t="s">
        <v>2181</v>
      </c>
      <c r="C610" s="164"/>
      <c r="D610" s="444"/>
      <c r="E610" s="329"/>
      <c r="H610" s="283"/>
      <c r="I610" s="283"/>
      <c r="K610" s="283"/>
      <c r="L610" s="283"/>
      <c r="M610" s="283"/>
      <c r="N610" s="283"/>
      <c r="O610" s="815"/>
      <c r="P610" s="164"/>
      <c r="Q610" s="529">
        <v>1000</v>
      </c>
      <c r="R610" s="529">
        <v>1000</v>
      </c>
      <c r="S610" s="1062"/>
      <c r="T610" s="1048"/>
      <c r="U610" s="1048"/>
      <c r="X610" s="16"/>
      <c r="Y610" s="16"/>
    </row>
    <row r="611" spans="1:25" s="42" customFormat="1" ht="15">
      <c r="A611" s="740"/>
      <c r="B611" s="530" t="s">
        <v>2182</v>
      </c>
      <c r="C611" s="164"/>
      <c r="D611" s="444"/>
      <c r="E611" s="329"/>
      <c r="H611" s="283"/>
      <c r="I611" s="283"/>
      <c r="K611" s="283"/>
      <c r="L611" s="283"/>
      <c r="M611" s="283"/>
      <c r="N611" s="283"/>
      <c r="O611" s="815"/>
      <c r="P611" s="164"/>
      <c r="Q611" s="529">
        <v>400</v>
      </c>
      <c r="R611" s="529">
        <v>400</v>
      </c>
      <c r="S611" s="1062"/>
      <c r="T611" s="1048"/>
      <c r="U611" s="1048"/>
      <c r="X611" s="16"/>
      <c r="Y611" s="16"/>
    </row>
    <row r="612" spans="1:25" s="42" customFormat="1" ht="15">
      <c r="A612" s="740"/>
      <c r="B612" s="530" t="s">
        <v>2183</v>
      </c>
      <c r="C612" s="164"/>
      <c r="D612" s="444"/>
      <c r="E612" s="329"/>
      <c r="H612" s="283"/>
      <c r="I612" s="283"/>
      <c r="K612" s="283"/>
      <c r="L612" s="283"/>
      <c r="M612" s="283"/>
      <c r="N612" s="283"/>
      <c r="O612" s="815"/>
      <c r="P612" s="164"/>
      <c r="Q612" s="529">
        <v>600</v>
      </c>
      <c r="R612" s="529">
        <v>600</v>
      </c>
      <c r="S612" s="1062"/>
      <c r="T612" s="1048"/>
      <c r="U612" s="1048"/>
      <c r="X612" s="16"/>
      <c r="Y612" s="16"/>
    </row>
    <row r="613" spans="1:25" s="42" customFormat="1" ht="15">
      <c r="A613" s="740"/>
      <c r="B613" s="530" t="s">
        <v>2184</v>
      </c>
      <c r="C613" s="164"/>
      <c r="D613" s="444"/>
      <c r="E613" s="329"/>
      <c r="H613" s="283"/>
      <c r="I613" s="283"/>
      <c r="K613" s="283"/>
      <c r="L613" s="283"/>
      <c r="M613" s="283"/>
      <c r="N613" s="283"/>
      <c r="O613" s="815"/>
      <c r="P613" s="164"/>
      <c r="Q613" s="529">
        <v>1000</v>
      </c>
      <c r="R613" s="529">
        <v>1000</v>
      </c>
      <c r="S613" s="1062"/>
      <c r="T613" s="1048"/>
      <c r="U613" s="1048"/>
      <c r="X613" s="16"/>
      <c r="Y613" s="16"/>
    </row>
    <row r="614" spans="1:25" s="42" customFormat="1" ht="15">
      <c r="A614" s="740"/>
      <c r="B614" s="530" t="s">
        <v>2185</v>
      </c>
      <c r="C614" s="164"/>
      <c r="D614" s="444"/>
      <c r="E614" s="329"/>
      <c r="H614" s="283"/>
      <c r="I614" s="283"/>
      <c r="K614" s="283"/>
      <c r="L614" s="283"/>
      <c r="M614" s="283"/>
      <c r="N614" s="283"/>
      <c r="O614" s="815"/>
      <c r="P614" s="164"/>
      <c r="Q614" s="529">
        <v>1000</v>
      </c>
      <c r="R614" s="529">
        <v>1000</v>
      </c>
      <c r="S614" s="1062"/>
      <c r="T614" s="1048"/>
      <c r="U614" s="1048"/>
      <c r="X614" s="16"/>
      <c r="Y614" s="16"/>
    </row>
    <row r="615" spans="1:25" s="42" customFormat="1" ht="15">
      <c r="A615" s="740"/>
      <c r="B615" s="530" t="s">
        <v>2186</v>
      </c>
      <c r="C615" s="164"/>
      <c r="D615" s="444"/>
      <c r="E615" s="329"/>
      <c r="H615" s="283"/>
      <c r="I615" s="283"/>
      <c r="K615" s="283"/>
      <c r="L615" s="283"/>
      <c r="M615" s="283"/>
      <c r="N615" s="283"/>
      <c r="O615" s="815"/>
      <c r="P615" s="164"/>
      <c r="Q615" s="529">
        <v>1000</v>
      </c>
      <c r="R615" s="529">
        <v>1000</v>
      </c>
      <c r="S615" s="1062"/>
      <c r="T615" s="1048"/>
      <c r="U615" s="1048"/>
      <c r="X615" s="16"/>
      <c r="Y615" s="16"/>
    </row>
    <row r="616" spans="1:25" s="42" customFormat="1" ht="15">
      <c r="A616" s="740"/>
      <c r="B616" s="530" t="s">
        <v>2187</v>
      </c>
      <c r="C616" s="164"/>
      <c r="D616" s="444"/>
      <c r="E616" s="329"/>
      <c r="H616" s="283"/>
      <c r="I616" s="283"/>
      <c r="K616" s="283"/>
      <c r="L616" s="283"/>
      <c r="M616" s="283"/>
      <c r="N616" s="283"/>
      <c r="O616" s="815"/>
      <c r="P616" s="164"/>
      <c r="Q616" s="529">
        <v>20000</v>
      </c>
      <c r="R616" s="529">
        <v>20000</v>
      </c>
      <c r="S616" s="1062"/>
      <c r="T616" s="1048"/>
      <c r="U616" s="1048"/>
      <c r="X616" s="16"/>
      <c r="Y616" s="16"/>
    </row>
    <row r="617" spans="1:25" s="42" customFormat="1" ht="15">
      <c r="A617" s="740"/>
      <c r="B617" s="1165" t="s">
        <v>2188</v>
      </c>
      <c r="C617" s="164"/>
      <c r="D617" s="444"/>
      <c r="E617" s="329"/>
      <c r="H617" s="283"/>
      <c r="I617" s="283"/>
      <c r="K617" s="283"/>
      <c r="L617" s="283"/>
      <c r="M617" s="283"/>
      <c r="N617" s="283"/>
      <c r="O617" s="815"/>
      <c r="P617" s="164"/>
      <c r="Q617" s="529">
        <v>30000</v>
      </c>
      <c r="R617" s="529">
        <v>30000</v>
      </c>
      <c r="S617" s="1062"/>
      <c r="T617" s="1048"/>
      <c r="U617" s="1048"/>
      <c r="X617" s="16"/>
      <c r="Y617" s="16"/>
    </row>
    <row r="618" spans="1:25" s="42" customFormat="1" ht="15">
      <c r="A618" s="740"/>
      <c r="B618" s="530" t="s">
        <v>2189</v>
      </c>
      <c r="C618" s="164"/>
      <c r="D618" s="444"/>
      <c r="E618" s="329"/>
      <c r="H618" s="283"/>
      <c r="I618" s="283"/>
      <c r="K618" s="283"/>
      <c r="L618" s="283"/>
      <c r="M618" s="283"/>
      <c r="N618" s="283"/>
      <c r="O618" s="815"/>
      <c r="P618" s="164"/>
      <c r="Q618" s="529">
        <v>1000</v>
      </c>
      <c r="R618" s="529">
        <v>1000</v>
      </c>
      <c r="S618" s="1062"/>
      <c r="T618" s="1048"/>
      <c r="U618" s="1048"/>
      <c r="X618" s="16"/>
      <c r="Y618" s="16"/>
    </row>
    <row r="619" spans="1:25" s="42" customFormat="1" ht="15">
      <c r="A619" s="740"/>
      <c r="B619" s="530" t="s">
        <v>2190</v>
      </c>
      <c r="C619" s="164"/>
      <c r="D619" s="444"/>
      <c r="E619" s="329"/>
      <c r="H619" s="283"/>
      <c r="I619" s="283"/>
      <c r="K619" s="283"/>
      <c r="L619" s="283"/>
      <c r="M619" s="283"/>
      <c r="N619" s="283"/>
      <c r="O619" s="815"/>
      <c r="P619" s="164"/>
      <c r="Q619" s="529">
        <v>1000</v>
      </c>
      <c r="R619" s="529">
        <v>1000</v>
      </c>
      <c r="S619" s="1062" t="s">
        <v>6019</v>
      </c>
      <c r="T619" s="1048"/>
      <c r="U619" s="1048"/>
      <c r="X619" s="16"/>
      <c r="Y619" s="16"/>
    </row>
    <row r="620" spans="1:25" s="42" customFormat="1" ht="15">
      <c r="A620" s="740"/>
      <c r="B620" s="530" t="s">
        <v>2191</v>
      </c>
      <c r="C620" s="164"/>
      <c r="D620" s="444"/>
      <c r="E620" s="329"/>
      <c r="H620" s="283"/>
      <c r="I620" s="283"/>
      <c r="K620" s="283"/>
      <c r="L620" s="283"/>
      <c r="M620" s="283"/>
      <c r="N620" s="283"/>
      <c r="O620" s="815"/>
      <c r="P620" s="164"/>
      <c r="Q620" s="529">
        <v>800</v>
      </c>
      <c r="R620" s="529">
        <v>800</v>
      </c>
      <c r="S620" s="1062"/>
      <c r="T620" s="1048"/>
      <c r="U620" s="1048"/>
      <c r="X620" s="16"/>
      <c r="Y620" s="16"/>
    </row>
    <row r="621" spans="1:25" s="42" customFormat="1" ht="15">
      <c r="A621" s="740"/>
      <c r="B621" s="530" t="s">
        <v>2192</v>
      </c>
      <c r="C621" s="164"/>
      <c r="D621" s="444"/>
      <c r="E621" s="329"/>
      <c r="H621" s="283"/>
      <c r="I621" s="283"/>
      <c r="K621" s="283"/>
      <c r="L621" s="283"/>
      <c r="M621" s="283"/>
      <c r="N621" s="283"/>
      <c r="O621" s="815"/>
      <c r="P621" s="164"/>
      <c r="Q621" s="529">
        <v>800</v>
      </c>
      <c r="R621" s="529">
        <v>800</v>
      </c>
      <c r="S621" s="1062"/>
      <c r="T621" s="1048"/>
      <c r="U621" s="1048"/>
      <c r="X621" s="16"/>
      <c r="Y621" s="16"/>
    </row>
    <row r="622" spans="1:25" s="42" customFormat="1" ht="15">
      <c r="A622" s="740"/>
      <c r="B622" s="530" t="s">
        <v>2193</v>
      </c>
      <c r="C622" s="164"/>
      <c r="D622" s="444"/>
      <c r="E622" s="329"/>
      <c r="H622" s="283"/>
      <c r="I622" s="283"/>
      <c r="K622" s="283"/>
      <c r="L622" s="283"/>
      <c r="M622" s="283"/>
      <c r="N622" s="283"/>
      <c r="O622" s="815"/>
      <c r="P622" s="164"/>
      <c r="Q622" s="529">
        <v>600</v>
      </c>
      <c r="R622" s="529">
        <v>600</v>
      </c>
      <c r="S622" s="1062"/>
      <c r="T622" s="1048"/>
      <c r="U622" s="1048"/>
      <c r="X622" s="16"/>
      <c r="Y622" s="16"/>
    </row>
    <row r="623" spans="1:25" s="42" customFormat="1" ht="15">
      <c r="A623" s="740"/>
      <c r="B623" s="530" t="s">
        <v>2194</v>
      </c>
      <c r="C623" s="164"/>
      <c r="D623" s="444"/>
      <c r="E623" s="329"/>
      <c r="H623" s="283"/>
      <c r="I623" s="283"/>
      <c r="K623" s="283"/>
      <c r="L623" s="283"/>
      <c r="M623" s="283"/>
      <c r="N623" s="283"/>
      <c r="O623" s="815"/>
      <c r="P623" s="164"/>
      <c r="Q623" s="529">
        <v>1000</v>
      </c>
      <c r="R623" s="529">
        <v>1000</v>
      </c>
      <c r="S623" s="1062"/>
      <c r="T623" s="1048"/>
      <c r="U623" s="1048"/>
      <c r="X623" s="16"/>
      <c r="Y623" s="16"/>
    </row>
    <row r="624" spans="1:25" s="42" customFormat="1" ht="15">
      <c r="A624" s="740"/>
      <c r="B624" s="530" t="s">
        <v>2195</v>
      </c>
      <c r="C624" s="164"/>
      <c r="D624" s="444"/>
      <c r="E624" s="329"/>
      <c r="H624" s="283"/>
      <c r="I624" s="283"/>
      <c r="K624" s="283"/>
      <c r="L624" s="283"/>
      <c r="M624" s="283"/>
      <c r="N624" s="283"/>
      <c r="O624" s="815"/>
      <c r="P624" s="164"/>
      <c r="Q624" s="529">
        <v>700</v>
      </c>
      <c r="R624" s="529">
        <v>700</v>
      </c>
      <c r="S624" s="1062"/>
      <c r="T624" s="1048"/>
      <c r="U624" s="1048"/>
      <c r="X624" s="16"/>
      <c r="Y624" s="16"/>
    </row>
    <row r="625" spans="1:25" s="42" customFormat="1" ht="15">
      <c r="A625" s="740"/>
      <c r="B625" s="530" t="s">
        <v>2196</v>
      </c>
      <c r="C625" s="164"/>
      <c r="D625" s="444"/>
      <c r="E625" s="329"/>
      <c r="H625" s="283"/>
      <c r="I625" s="283"/>
      <c r="K625" s="283"/>
      <c r="L625" s="283"/>
      <c r="M625" s="283"/>
      <c r="N625" s="283"/>
      <c r="O625" s="815"/>
      <c r="P625" s="164"/>
      <c r="Q625" s="529">
        <v>900</v>
      </c>
      <c r="R625" s="529">
        <v>900</v>
      </c>
      <c r="S625" s="1062"/>
      <c r="T625" s="1048"/>
      <c r="U625" s="1048"/>
      <c r="X625" s="16"/>
      <c r="Y625" s="16"/>
    </row>
    <row r="626" spans="1:25" s="42" customFormat="1" ht="15">
      <c r="A626" s="740"/>
      <c r="B626" s="530" t="s">
        <v>2197</v>
      </c>
      <c r="C626" s="164"/>
      <c r="D626" s="444"/>
      <c r="E626" s="329"/>
      <c r="H626" s="283"/>
      <c r="I626" s="283"/>
      <c r="K626" s="283"/>
      <c r="L626" s="283"/>
      <c r="M626" s="283"/>
      <c r="N626" s="283"/>
      <c r="O626" s="815"/>
      <c r="P626" s="164"/>
      <c r="Q626" s="529">
        <v>800</v>
      </c>
      <c r="R626" s="529">
        <v>800</v>
      </c>
      <c r="S626" s="1062"/>
      <c r="T626" s="1048"/>
      <c r="U626" s="1048"/>
      <c r="X626" s="16"/>
      <c r="Y626" s="16"/>
    </row>
    <row r="627" spans="1:25" s="42" customFormat="1" ht="15">
      <c r="A627" s="740"/>
      <c r="B627" s="530" t="s">
        <v>2198</v>
      </c>
      <c r="C627" s="164"/>
      <c r="D627" s="444"/>
      <c r="E627" s="329"/>
      <c r="H627" s="283"/>
      <c r="I627" s="283"/>
      <c r="K627" s="283"/>
      <c r="L627" s="283"/>
      <c r="M627" s="283"/>
      <c r="N627" s="283"/>
      <c r="O627" s="815"/>
      <c r="P627" s="164"/>
      <c r="Q627" s="529">
        <v>1000</v>
      </c>
      <c r="R627" s="529">
        <v>1000</v>
      </c>
      <c r="S627" s="1062"/>
      <c r="T627" s="1048"/>
      <c r="U627" s="1048"/>
      <c r="X627" s="16"/>
      <c r="Y627" s="16"/>
    </row>
    <row r="628" spans="1:25" s="42" customFormat="1" ht="15">
      <c r="A628" s="740"/>
      <c r="B628" s="530" t="s">
        <v>2199</v>
      </c>
      <c r="C628" s="164"/>
      <c r="D628" s="444"/>
      <c r="E628" s="329"/>
      <c r="H628" s="283"/>
      <c r="I628" s="283"/>
      <c r="K628" s="283"/>
      <c r="L628" s="283"/>
      <c r="M628" s="283"/>
      <c r="N628" s="283"/>
      <c r="O628" s="815"/>
      <c r="P628" s="164"/>
      <c r="Q628" s="529">
        <v>1000</v>
      </c>
      <c r="R628" s="529">
        <v>1000</v>
      </c>
      <c r="S628" s="1062"/>
      <c r="T628" s="1048"/>
      <c r="U628" s="1048"/>
      <c r="X628" s="16"/>
      <c r="Y628" s="16"/>
    </row>
    <row r="629" spans="1:25" s="42" customFormat="1" ht="15">
      <c r="A629" s="740"/>
      <c r="B629" s="530" t="s">
        <v>2200</v>
      </c>
      <c r="C629" s="164"/>
      <c r="D629" s="444"/>
      <c r="E629" s="329"/>
      <c r="H629" s="283"/>
      <c r="I629" s="283"/>
      <c r="K629" s="283"/>
      <c r="L629" s="283"/>
      <c r="M629" s="283"/>
      <c r="N629" s="283"/>
      <c r="O629" s="815"/>
      <c r="P629" s="164"/>
      <c r="Q629" s="529">
        <v>1000</v>
      </c>
      <c r="R629" s="529">
        <v>1000</v>
      </c>
      <c r="S629" s="1062"/>
      <c r="T629" s="1048"/>
      <c r="U629" s="1048"/>
      <c r="X629" s="16"/>
      <c r="Y629" s="16"/>
    </row>
    <row r="630" spans="1:25" s="42" customFormat="1" ht="15">
      <c r="A630" s="740"/>
      <c r="B630" s="530" t="s">
        <v>2201</v>
      </c>
      <c r="C630" s="164"/>
      <c r="D630" s="444"/>
      <c r="E630" s="329"/>
      <c r="H630" s="283"/>
      <c r="I630" s="283"/>
      <c r="K630" s="283"/>
      <c r="L630" s="283"/>
      <c r="M630" s="283"/>
      <c r="N630" s="283"/>
      <c r="O630" s="815"/>
      <c r="P630" s="164"/>
      <c r="Q630" s="529">
        <v>700</v>
      </c>
      <c r="R630" s="529">
        <v>700</v>
      </c>
      <c r="S630" s="1062" t="s">
        <v>6020</v>
      </c>
      <c r="T630" s="1048"/>
      <c r="U630" s="1048"/>
      <c r="X630" s="16"/>
      <c r="Y630" s="16"/>
    </row>
    <row r="631" spans="1:25" s="42" customFormat="1" ht="15">
      <c r="A631" s="740"/>
      <c r="B631" s="530" t="s">
        <v>2202</v>
      </c>
      <c r="C631" s="164"/>
      <c r="D631" s="444"/>
      <c r="E631" s="329"/>
      <c r="H631" s="283"/>
      <c r="I631" s="283"/>
      <c r="K631" s="283"/>
      <c r="L631" s="283"/>
      <c r="M631" s="283"/>
      <c r="N631" s="283"/>
      <c r="O631" s="815"/>
      <c r="P631" s="164"/>
      <c r="Q631" s="529">
        <v>3000</v>
      </c>
      <c r="R631" s="529">
        <v>3000</v>
      </c>
      <c r="S631" s="1062"/>
      <c r="T631" s="1048"/>
      <c r="U631" s="1048"/>
      <c r="X631" s="16"/>
      <c r="Y631" s="16"/>
    </row>
    <row r="632" spans="1:25" s="42" customFormat="1" ht="15">
      <c r="A632" s="740"/>
      <c r="B632" s="530" t="s">
        <v>2203</v>
      </c>
      <c r="C632" s="164"/>
      <c r="D632" s="444"/>
      <c r="E632" s="329"/>
      <c r="H632" s="283"/>
      <c r="I632" s="283"/>
      <c r="K632" s="283"/>
      <c r="L632" s="283"/>
      <c r="M632" s="283"/>
      <c r="N632" s="283"/>
      <c r="O632" s="815"/>
      <c r="P632" s="164"/>
      <c r="Q632" s="529">
        <v>1000</v>
      </c>
      <c r="R632" s="529">
        <v>1000</v>
      </c>
      <c r="S632" s="1062"/>
      <c r="T632" s="1048"/>
      <c r="U632" s="1048"/>
      <c r="X632" s="16"/>
      <c r="Y632" s="16"/>
    </row>
    <row r="633" spans="1:25" s="42" customFormat="1" ht="15">
      <c r="A633" s="740"/>
      <c r="B633" s="530" t="s">
        <v>2204</v>
      </c>
      <c r="C633" s="164"/>
      <c r="D633" s="444"/>
      <c r="E633" s="329"/>
      <c r="H633" s="283"/>
      <c r="I633" s="283"/>
      <c r="K633" s="283"/>
      <c r="L633" s="283"/>
      <c r="M633" s="283"/>
      <c r="N633" s="283"/>
      <c r="O633" s="815"/>
      <c r="P633" s="164"/>
      <c r="Q633" s="529">
        <v>500</v>
      </c>
      <c r="R633" s="529">
        <v>500</v>
      </c>
      <c r="S633" s="1062"/>
      <c r="T633" s="1048"/>
      <c r="U633" s="1048"/>
      <c r="X633" s="16"/>
      <c r="Y633" s="16"/>
    </row>
    <row r="634" spans="1:25" s="42" customFormat="1" ht="15">
      <c r="A634" s="740"/>
      <c r="B634" s="530" t="s">
        <v>2205</v>
      </c>
      <c r="C634" s="164"/>
      <c r="D634" s="444"/>
      <c r="E634" s="329"/>
      <c r="H634" s="283"/>
      <c r="I634" s="283"/>
      <c r="K634" s="283"/>
      <c r="L634" s="283"/>
      <c r="M634" s="283"/>
      <c r="N634" s="283"/>
      <c r="O634" s="815"/>
      <c r="P634" s="164"/>
      <c r="Q634" s="529">
        <v>1000</v>
      </c>
      <c r="R634" s="529">
        <v>1000</v>
      </c>
      <c r="S634" s="1062"/>
      <c r="T634" s="1048"/>
      <c r="U634" s="1048"/>
      <c r="X634" s="16"/>
      <c r="Y634" s="16"/>
    </row>
    <row r="635" spans="1:25" s="42" customFormat="1" ht="15">
      <c r="A635" s="740"/>
      <c r="B635" s="530" t="s">
        <v>2206</v>
      </c>
      <c r="C635" s="164"/>
      <c r="D635" s="444"/>
      <c r="E635" s="329"/>
      <c r="H635" s="283"/>
      <c r="I635" s="283"/>
      <c r="K635" s="283"/>
      <c r="L635" s="283"/>
      <c r="M635" s="283"/>
      <c r="N635" s="283"/>
      <c r="O635" s="815"/>
      <c r="P635" s="164"/>
      <c r="Q635" s="529">
        <v>700</v>
      </c>
      <c r="R635" s="529">
        <v>700</v>
      </c>
      <c r="S635" s="1062"/>
      <c r="T635" s="1048"/>
      <c r="U635" s="1048"/>
      <c r="X635" s="16"/>
      <c r="Y635" s="16"/>
    </row>
    <row r="636" spans="1:25" s="42" customFormat="1" ht="15">
      <c r="A636" s="740"/>
      <c r="B636" s="530" t="s">
        <v>2207</v>
      </c>
      <c r="C636" s="164"/>
      <c r="D636" s="444"/>
      <c r="E636" s="329"/>
      <c r="H636" s="283"/>
      <c r="I636" s="283"/>
      <c r="K636" s="283"/>
      <c r="L636" s="283"/>
      <c r="M636" s="283"/>
      <c r="N636" s="283"/>
      <c r="O636" s="815"/>
      <c r="P636" s="164"/>
      <c r="Q636" s="529">
        <v>800</v>
      </c>
      <c r="R636" s="529">
        <v>800</v>
      </c>
      <c r="S636" s="1062"/>
      <c r="T636" s="1048"/>
      <c r="U636" s="1048"/>
      <c r="X636" s="16"/>
      <c r="Y636" s="16"/>
    </row>
    <row r="637" spans="1:25" s="42" customFormat="1" ht="15">
      <c r="A637" s="740"/>
      <c r="B637" s="530" t="s">
        <v>2208</v>
      </c>
      <c r="C637" s="164"/>
      <c r="D637" s="444"/>
      <c r="E637" s="329"/>
      <c r="H637" s="283"/>
      <c r="I637" s="283"/>
      <c r="K637" s="283"/>
      <c r="L637" s="283"/>
      <c r="M637" s="283"/>
      <c r="N637" s="283"/>
      <c r="O637" s="815"/>
      <c r="P637" s="164"/>
      <c r="Q637" s="529">
        <v>700</v>
      </c>
      <c r="R637" s="529">
        <v>700</v>
      </c>
      <c r="S637" s="1062"/>
      <c r="T637" s="1048"/>
      <c r="U637" s="1048"/>
      <c r="X637" s="16"/>
      <c r="Y637" s="16"/>
    </row>
    <row r="638" spans="1:25" s="42" customFormat="1" ht="15">
      <c r="A638" s="740"/>
      <c r="B638" s="530" t="s">
        <v>2209</v>
      </c>
      <c r="C638" s="164"/>
      <c r="D638" s="444"/>
      <c r="E638" s="329"/>
      <c r="H638" s="283"/>
      <c r="I638" s="283"/>
      <c r="K638" s="283"/>
      <c r="L638" s="283"/>
      <c r="M638" s="283"/>
      <c r="N638" s="283"/>
      <c r="O638" s="815"/>
      <c r="P638" s="164"/>
      <c r="Q638" s="529">
        <v>600</v>
      </c>
      <c r="R638" s="529">
        <v>600</v>
      </c>
      <c r="S638" s="1062"/>
      <c r="T638" s="1048"/>
      <c r="U638" s="1048"/>
      <c r="X638" s="16"/>
      <c r="Y638" s="16"/>
    </row>
    <row r="639" spans="1:25" s="42" customFormat="1" ht="15">
      <c r="A639" s="740"/>
      <c r="B639" s="530" t="s">
        <v>2210</v>
      </c>
      <c r="C639" s="164"/>
      <c r="D639" s="444"/>
      <c r="E639" s="329"/>
      <c r="H639" s="283"/>
      <c r="I639" s="283"/>
      <c r="K639" s="283"/>
      <c r="L639" s="283"/>
      <c r="M639" s="283"/>
      <c r="N639" s="283"/>
      <c r="O639" s="815"/>
      <c r="P639" s="164"/>
      <c r="Q639" s="529">
        <v>900</v>
      </c>
      <c r="R639" s="529">
        <v>900</v>
      </c>
      <c r="S639" s="1062" t="s">
        <v>6021</v>
      </c>
      <c r="T639" s="1048"/>
      <c r="U639" s="1048"/>
      <c r="X639" s="16"/>
      <c r="Y639" s="16"/>
    </row>
    <row r="640" spans="1:25" s="42" customFormat="1" ht="15">
      <c r="A640" s="740"/>
      <c r="B640" s="530" t="s">
        <v>2211</v>
      </c>
      <c r="C640" s="164"/>
      <c r="D640" s="444"/>
      <c r="E640" s="329"/>
      <c r="H640" s="283"/>
      <c r="I640" s="283"/>
      <c r="K640" s="283"/>
      <c r="L640" s="283"/>
      <c r="M640" s="283"/>
      <c r="N640" s="283"/>
      <c r="O640" s="815"/>
      <c r="P640" s="164"/>
      <c r="Q640" s="529">
        <v>600</v>
      </c>
      <c r="R640" s="529">
        <v>600</v>
      </c>
      <c r="S640" s="1062" t="s">
        <v>6022</v>
      </c>
      <c r="T640" s="1048"/>
      <c r="U640" s="1048"/>
      <c r="X640" s="16"/>
      <c r="Y640" s="16"/>
    </row>
    <row r="641" spans="1:25" s="42" customFormat="1" ht="15">
      <c r="A641" s="740"/>
      <c r="B641" s="530" t="s">
        <v>2212</v>
      </c>
      <c r="C641" s="164"/>
      <c r="D641" s="444"/>
      <c r="E641" s="329"/>
      <c r="H641" s="283"/>
      <c r="I641" s="283"/>
      <c r="K641" s="283"/>
      <c r="L641" s="283"/>
      <c r="M641" s="283"/>
      <c r="N641" s="283"/>
      <c r="O641" s="815"/>
      <c r="P641" s="164"/>
      <c r="Q641" s="529">
        <v>1000</v>
      </c>
      <c r="R641" s="529">
        <v>1000</v>
      </c>
      <c r="S641" s="1062"/>
      <c r="T641" s="1048"/>
      <c r="U641" s="1048"/>
      <c r="X641" s="16"/>
      <c r="Y641" s="16"/>
    </row>
    <row r="642" spans="1:25" s="42" customFormat="1" ht="15">
      <c r="A642" s="740"/>
      <c r="B642" s="530" t="s">
        <v>2213</v>
      </c>
      <c r="C642" s="164"/>
      <c r="D642" s="444"/>
      <c r="E642" s="329"/>
      <c r="H642" s="283"/>
      <c r="I642" s="283"/>
      <c r="K642" s="283"/>
      <c r="L642" s="283"/>
      <c r="M642" s="283"/>
      <c r="N642" s="283"/>
      <c r="O642" s="815"/>
      <c r="P642" s="164"/>
      <c r="Q642" s="529">
        <v>800</v>
      </c>
      <c r="R642" s="529">
        <v>800</v>
      </c>
      <c r="S642" s="1062"/>
      <c r="T642" s="1048"/>
      <c r="U642" s="1048"/>
      <c r="X642" s="16"/>
      <c r="Y642" s="16"/>
    </row>
    <row r="643" spans="1:25" s="42" customFormat="1" ht="15">
      <c r="A643" s="740"/>
      <c r="B643" s="530" t="s">
        <v>2214</v>
      </c>
      <c r="C643" s="164"/>
      <c r="D643" s="444"/>
      <c r="E643" s="329"/>
      <c r="H643" s="283"/>
      <c r="I643" s="283"/>
      <c r="K643" s="283"/>
      <c r="L643" s="283"/>
      <c r="M643" s="283"/>
      <c r="N643" s="283"/>
      <c r="O643" s="815"/>
      <c r="P643" s="164"/>
      <c r="Q643" s="529">
        <v>800</v>
      </c>
      <c r="R643" s="529">
        <v>800</v>
      </c>
      <c r="S643" s="1062"/>
      <c r="T643" s="1048"/>
      <c r="U643" s="1048"/>
      <c r="X643" s="16"/>
      <c r="Y643" s="16"/>
    </row>
    <row r="644" spans="1:25" s="42" customFormat="1" ht="15">
      <c r="A644" s="740"/>
      <c r="B644" s="530" t="s">
        <v>2215</v>
      </c>
      <c r="C644" s="164"/>
      <c r="D644" s="444"/>
      <c r="E644" s="329"/>
      <c r="H644" s="283"/>
      <c r="I644" s="283"/>
      <c r="K644" s="283"/>
      <c r="L644" s="283"/>
      <c r="M644" s="283"/>
      <c r="N644" s="283"/>
      <c r="O644" s="815"/>
      <c r="P644" s="164"/>
      <c r="Q644" s="529">
        <v>600</v>
      </c>
      <c r="R644" s="529">
        <v>600</v>
      </c>
      <c r="S644" s="1062"/>
      <c r="T644" s="1048"/>
      <c r="U644" s="1048"/>
      <c r="X644" s="16"/>
      <c r="Y644" s="16"/>
    </row>
    <row r="645" spans="1:25" s="42" customFormat="1" ht="15">
      <c r="A645" s="740"/>
      <c r="B645" s="530" t="s">
        <v>2216</v>
      </c>
      <c r="C645" s="164"/>
      <c r="D645" s="444"/>
      <c r="E645" s="329"/>
      <c r="H645" s="283"/>
      <c r="I645" s="283"/>
      <c r="K645" s="283"/>
      <c r="L645" s="283"/>
      <c r="M645" s="283"/>
      <c r="N645" s="283"/>
      <c r="O645" s="815"/>
      <c r="P645" s="164"/>
      <c r="Q645" s="529">
        <v>700</v>
      </c>
      <c r="R645" s="529">
        <v>700</v>
      </c>
      <c r="S645" s="1062"/>
      <c r="T645" s="1048"/>
      <c r="U645" s="1048"/>
      <c r="X645" s="16"/>
      <c r="Y645" s="16"/>
    </row>
    <row r="646" spans="1:25" s="42" customFormat="1" ht="15">
      <c r="A646" s="740"/>
      <c r="B646" s="530" t="s">
        <v>2217</v>
      </c>
      <c r="C646" s="164"/>
      <c r="D646" s="444"/>
      <c r="E646" s="329"/>
      <c r="H646" s="283"/>
      <c r="I646" s="283"/>
      <c r="K646" s="283"/>
      <c r="L646" s="283"/>
      <c r="M646" s="283"/>
      <c r="N646" s="283"/>
      <c r="O646" s="815"/>
      <c r="P646" s="164"/>
      <c r="Q646" s="529">
        <v>2000</v>
      </c>
      <c r="R646" s="529">
        <v>2000</v>
      </c>
      <c r="S646" s="1062"/>
      <c r="T646" s="1048"/>
      <c r="U646" s="1048"/>
      <c r="X646" s="16"/>
      <c r="Y646" s="16"/>
    </row>
    <row r="647" spans="1:25" s="42" customFormat="1" ht="15">
      <c r="A647" s="740"/>
      <c r="B647" s="530" t="s">
        <v>2218</v>
      </c>
      <c r="C647" s="164"/>
      <c r="D647" s="444"/>
      <c r="E647" s="329"/>
      <c r="H647" s="283"/>
      <c r="I647" s="283"/>
      <c r="K647" s="283"/>
      <c r="L647" s="283"/>
      <c r="M647" s="283"/>
      <c r="N647" s="283"/>
      <c r="O647" s="815"/>
      <c r="P647" s="164"/>
      <c r="Q647" s="529">
        <v>1000</v>
      </c>
      <c r="R647" s="529">
        <v>1000</v>
      </c>
      <c r="S647" s="1062"/>
      <c r="T647" s="1048"/>
      <c r="U647" s="1048"/>
      <c r="X647" s="16"/>
      <c r="Y647" s="16"/>
    </row>
    <row r="648" spans="1:25" s="42" customFormat="1" ht="15">
      <c r="A648" s="740"/>
      <c r="B648" s="530" t="s">
        <v>2219</v>
      </c>
      <c r="C648" s="164"/>
      <c r="D648" s="444"/>
      <c r="E648" s="329"/>
      <c r="H648" s="283"/>
      <c r="I648" s="283"/>
      <c r="K648" s="283"/>
      <c r="L648" s="283"/>
      <c r="M648" s="283"/>
      <c r="N648" s="283"/>
      <c r="O648" s="815"/>
      <c r="P648" s="164"/>
      <c r="Q648" s="529">
        <v>1000</v>
      </c>
      <c r="R648" s="529">
        <v>1000</v>
      </c>
      <c r="S648" s="1062"/>
      <c r="T648" s="1048"/>
      <c r="U648" s="1048"/>
      <c r="X648" s="16"/>
      <c r="Y648" s="16"/>
    </row>
    <row r="649" spans="1:25" s="42" customFormat="1" ht="15">
      <c r="A649" s="740"/>
      <c r="B649" s="530" t="s">
        <v>2220</v>
      </c>
      <c r="C649" s="164"/>
      <c r="D649" s="444"/>
      <c r="E649" s="329"/>
      <c r="H649" s="283"/>
      <c r="I649" s="283"/>
      <c r="K649" s="283"/>
      <c r="L649" s="283"/>
      <c r="M649" s="283"/>
      <c r="N649" s="283"/>
      <c r="O649" s="815"/>
      <c r="P649" s="164"/>
      <c r="Q649" s="529">
        <v>700</v>
      </c>
      <c r="R649" s="529">
        <v>700</v>
      </c>
      <c r="S649" s="1062" t="s">
        <v>6023</v>
      </c>
      <c r="T649" s="1048"/>
      <c r="U649" s="1048"/>
      <c r="X649" s="16"/>
      <c r="Y649" s="16"/>
    </row>
    <row r="650" spans="1:25" s="42" customFormat="1" ht="15">
      <c r="A650" s="740"/>
      <c r="B650" s="530" t="s">
        <v>2221</v>
      </c>
      <c r="C650" s="164"/>
      <c r="D650" s="444"/>
      <c r="E650" s="329"/>
      <c r="H650" s="283"/>
      <c r="I650" s="283"/>
      <c r="K650" s="283"/>
      <c r="L650" s="283"/>
      <c r="M650" s="283"/>
      <c r="N650" s="283"/>
      <c r="O650" s="815"/>
      <c r="P650" s="164"/>
      <c r="Q650" s="529">
        <v>700</v>
      </c>
      <c r="R650" s="529">
        <v>700</v>
      </c>
      <c r="S650" s="1062" t="s">
        <v>6024</v>
      </c>
      <c r="T650" s="1048"/>
      <c r="U650" s="1048"/>
      <c r="X650" s="16"/>
      <c r="Y650" s="16"/>
    </row>
    <row r="651" spans="1:25" s="42" customFormat="1" ht="15">
      <c r="A651" s="740"/>
      <c r="B651" s="530" t="s">
        <v>2222</v>
      </c>
      <c r="C651" s="164"/>
      <c r="D651" s="444"/>
      <c r="E651" s="329"/>
      <c r="H651" s="283"/>
      <c r="I651" s="283"/>
      <c r="K651" s="283"/>
      <c r="L651" s="283"/>
      <c r="M651" s="283"/>
      <c r="N651" s="283"/>
      <c r="O651" s="815"/>
      <c r="P651" s="164"/>
      <c r="Q651" s="529">
        <v>1000</v>
      </c>
      <c r="R651" s="529">
        <v>1000</v>
      </c>
      <c r="S651" s="1062" t="s">
        <v>6025</v>
      </c>
      <c r="T651" s="1048"/>
      <c r="U651" s="1048"/>
      <c r="X651" s="16"/>
      <c r="Y651" s="16"/>
    </row>
    <row r="652" spans="1:25" s="42" customFormat="1" ht="15">
      <c r="A652" s="740"/>
      <c r="B652" s="530" t="s">
        <v>2223</v>
      </c>
      <c r="C652" s="164"/>
      <c r="D652" s="444"/>
      <c r="E652" s="329"/>
      <c r="H652" s="283"/>
      <c r="I652" s="283"/>
      <c r="K652" s="283"/>
      <c r="L652" s="283"/>
      <c r="M652" s="283"/>
      <c r="N652" s="283"/>
      <c r="O652" s="815"/>
      <c r="P652" s="164"/>
      <c r="Q652" s="529">
        <v>30000</v>
      </c>
      <c r="R652" s="529">
        <v>30000</v>
      </c>
      <c r="S652" s="1062"/>
      <c r="T652" s="1048"/>
      <c r="U652" s="1048"/>
      <c r="X652" s="16"/>
      <c r="Y652" s="16"/>
    </row>
    <row r="653" spans="1:25" s="42" customFormat="1" ht="15">
      <c r="A653" s="740"/>
      <c r="B653" s="530" t="s">
        <v>2224</v>
      </c>
      <c r="C653" s="164"/>
      <c r="D653" s="444"/>
      <c r="E653" s="329"/>
      <c r="H653" s="283"/>
      <c r="I653" s="283"/>
      <c r="K653" s="283"/>
      <c r="L653" s="283"/>
      <c r="M653" s="283"/>
      <c r="N653" s="283"/>
      <c r="O653" s="815"/>
      <c r="P653" s="164"/>
      <c r="Q653" s="529">
        <v>70000</v>
      </c>
      <c r="R653" s="529">
        <v>70000</v>
      </c>
      <c r="S653" s="1062" t="s">
        <v>6026</v>
      </c>
      <c r="T653" s="1048"/>
      <c r="U653" s="1048"/>
      <c r="X653" s="16"/>
      <c r="Y653" s="16"/>
    </row>
    <row r="654" spans="1:25" s="42" customFormat="1" ht="15">
      <c r="A654" s="740"/>
      <c r="B654" s="1165" t="s">
        <v>2225</v>
      </c>
      <c r="C654" s="164"/>
      <c r="D654" s="444"/>
      <c r="E654" s="329"/>
      <c r="H654" s="283"/>
      <c r="I654" s="283"/>
      <c r="K654" s="283"/>
      <c r="L654" s="283"/>
      <c r="M654" s="283"/>
      <c r="N654" s="283"/>
      <c r="O654" s="815"/>
      <c r="P654" s="164"/>
      <c r="Q654" s="529">
        <v>10000</v>
      </c>
      <c r="R654" s="529">
        <v>10000</v>
      </c>
      <c r="S654" s="1062"/>
      <c r="T654" s="1048"/>
      <c r="U654" s="1048"/>
      <c r="X654" s="16"/>
      <c r="Y654" s="16"/>
    </row>
    <row r="655" spans="1:25" s="42" customFormat="1" ht="15">
      <c r="A655" s="740"/>
      <c r="B655" s="530" t="s">
        <v>2226</v>
      </c>
      <c r="C655" s="164"/>
      <c r="D655" s="444"/>
      <c r="E655" s="329"/>
      <c r="H655" s="283"/>
      <c r="I655" s="283"/>
      <c r="K655" s="283"/>
      <c r="L655" s="283"/>
      <c r="M655" s="283"/>
      <c r="N655" s="283"/>
      <c r="O655" s="815"/>
      <c r="P655" s="164"/>
      <c r="Q655" s="529">
        <v>800</v>
      </c>
      <c r="R655" s="529">
        <v>800</v>
      </c>
      <c r="S655" s="1062" t="s">
        <v>6027</v>
      </c>
      <c r="T655" s="1048"/>
      <c r="U655" s="1048"/>
      <c r="X655" s="16"/>
      <c r="Y655" s="16"/>
    </row>
    <row r="656" spans="1:25" s="42" customFormat="1" ht="15">
      <c r="A656" s="740"/>
      <c r="B656" s="530" t="s">
        <v>2227</v>
      </c>
      <c r="C656" s="164"/>
      <c r="D656" s="444"/>
      <c r="E656" s="329"/>
      <c r="H656" s="283"/>
      <c r="I656" s="283"/>
      <c r="K656" s="283"/>
      <c r="L656" s="283"/>
      <c r="M656" s="283"/>
      <c r="N656" s="283"/>
      <c r="O656" s="815"/>
      <c r="P656" s="164"/>
      <c r="Q656" s="529">
        <v>600</v>
      </c>
      <c r="R656" s="529">
        <v>600</v>
      </c>
      <c r="S656" s="1062"/>
      <c r="T656" s="1048"/>
      <c r="U656" s="1048"/>
      <c r="X656" s="16"/>
      <c r="Y656" s="16"/>
    </row>
    <row r="657" spans="1:25" s="42" customFormat="1" ht="15">
      <c r="A657" s="740"/>
      <c r="B657" s="530" t="s">
        <v>2228</v>
      </c>
      <c r="C657" s="164"/>
      <c r="D657" s="444"/>
      <c r="E657" s="329"/>
      <c r="H657" s="283"/>
      <c r="I657" s="283"/>
      <c r="K657" s="283"/>
      <c r="L657" s="283"/>
      <c r="M657" s="283"/>
      <c r="N657" s="283"/>
      <c r="O657" s="815"/>
      <c r="P657" s="164"/>
      <c r="Q657" s="529">
        <v>1000</v>
      </c>
      <c r="R657" s="529">
        <v>1000</v>
      </c>
      <c r="S657" s="1062" t="s">
        <v>6028</v>
      </c>
      <c r="T657" s="1048"/>
      <c r="U657" s="1048"/>
      <c r="X657" s="16"/>
      <c r="Y657" s="16"/>
    </row>
    <row r="658" spans="1:25" s="42" customFormat="1" ht="15">
      <c r="A658" s="740"/>
      <c r="B658" s="530" t="s">
        <v>2229</v>
      </c>
      <c r="C658" s="164"/>
      <c r="D658" s="444"/>
      <c r="E658" s="329"/>
      <c r="H658" s="283"/>
      <c r="I658" s="283"/>
      <c r="K658" s="283"/>
      <c r="L658" s="283"/>
      <c r="M658" s="283"/>
      <c r="N658" s="283"/>
      <c r="O658" s="815"/>
      <c r="P658" s="164"/>
      <c r="Q658" s="529">
        <v>900</v>
      </c>
      <c r="R658" s="529">
        <v>900</v>
      </c>
      <c r="S658" s="1062"/>
      <c r="T658" s="1048"/>
      <c r="U658" s="1048"/>
      <c r="X658" s="16"/>
      <c r="Y658" s="16"/>
    </row>
    <row r="659" spans="1:25" s="42" customFormat="1" ht="15">
      <c r="A659" s="740"/>
      <c r="B659" s="530" t="s">
        <v>2230</v>
      </c>
      <c r="C659" s="164"/>
      <c r="D659" s="444"/>
      <c r="E659" s="329"/>
      <c r="H659" s="283"/>
      <c r="I659" s="283"/>
      <c r="K659" s="283"/>
      <c r="L659" s="283"/>
      <c r="M659" s="283"/>
      <c r="N659" s="283"/>
      <c r="O659" s="815"/>
      <c r="P659" s="164"/>
      <c r="Q659" s="529">
        <v>1000</v>
      </c>
      <c r="R659" s="529">
        <v>1000</v>
      </c>
      <c r="S659" s="1062"/>
      <c r="T659" s="1048"/>
      <c r="U659" s="1048"/>
      <c r="X659" s="16"/>
      <c r="Y659" s="16"/>
    </row>
    <row r="660" spans="1:25" s="42" customFormat="1" ht="15">
      <c r="A660" s="740"/>
      <c r="B660" s="530" t="s">
        <v>2231</v>
      </c>
      <c r="C660" s="164"/>
      <c r="D660" s="444"/>
      <c r="E660" s="329"/>
      <c r="H660" s="283"/>
      <c r="I660" s="283"/>
      <c r="K660" s="283"/>
      <c r="L660" s="283"/>
      <c r="M660" s="283"/>
      <c r="N660" s="283"/>
      <c r="O660" s="815"/>
      <c r="P660" s="164"/>
      <c r="Q660" s="529">
        <v>1000</v>
      </c>
      <c r="R660" s="529">
        <v>1000</v>
      </c>
      <c r="S660" s="1062" t="s">
        <v>6029</v>
      </c>
      <c r="T660" s="1048"/>
      <c r="U660" s="1048"/>
      <c r="X660" s="16"/>
      <c r="Y660" s="16"/>
    </row>
    <row r="661" spans="1:25" s="42" customFormat="1" ht="15">
      <c r="A661" s="740"/>
      <c r="B661" s="530" t="s">
        <v>2232</v>
      </c>
      <c r="C661" s="164"/>
      <c r="D661" s="444"/>
      <c r="E661" s="329"/>
      <c r="H661" s="283"/>
      <c r="I661" s="283"/>
      <c r="K661" s="283"/>
      <c r="L661" s="283"/>
      <c r="M661" s="283"/>
      <c r="N661" s="283"/>
      <c r="O661" s="815"/>
      <c r="P661" s="164"/>
      <c r="Q661" s="529">
        <v>700</v>
      </c>
      <c r="R661" s="529">
        <v>700</v>
      </c>
      <c r="S661" s="1062" t="s">
        <v>6030</v>
      </c>
      <c r="T661" s="1048"/>
      <c r="U661" s="1048"/>
      <c r="X661" s="16"/>
      <c r="Y661" s="16"/>
    </row>
    <row r="662" spans="1:25" s="42" customFormat="1" ht="15">
      <c r="A662" s="740"/>
      <c r="B662" s="530" t="s">
        <v>2233</v>
      </c>
      <c r="C662" s="164"/>
      <c r="D662" s="444"/>
      <c r="E662" s="329"/>
      <c r="H662" s="283"/>
      <c r="I662" s="283"/>
      <c r="K662" s="283"/>
      <c r="L662" s="283"/>
      <c r="M662" s="283"/>
      <c r="N662" s="283"/>
      <c r="O662" s="815"/>
      <c r="P662" s="164"/>
      <c r="Q662" s="529">
        <v>1000</v>
      </c>
      <c r="R662" s="529">
        <v>1000</v>
      </c>
      <c r="S662" s="1062"/>
      <c r="T662" s="1048"/>
      <c r="U662" s="1048"/>
      <c r="X662" s="16"/>
      <c r="Y662" s="16"/>
    </row>
    <row r="663" spans="1:25" s="42" customFormat="1" ht="15">
      <c r="A663" s="740"/>
      <c r="B663" s="530" t="s">
        <v>2234</v>
      </c>
      <c r="C663" s="164"/>
      <c r="D663" s="444"/>
      <c r="E663" s="329"/>
      <c r="H663" s="283"/>
      <c r="I663" s="283"/>
      <c r="K663" s="283"/>
      <c r="L663" s="283"/>
      <c r="M663" s="283"/>
      <c r="N663" s="283"/>
      <c r="O663" s="815"/>
      <c r="P663" s="164"/>
      <c r="Q663" s="529">
        <v>1000</v>
      </c>
      <c r="R663" s="529">
        <v>1000</v>
      </c>
      <c r="S663" s="1062"/>
      <c r="T663" s="1048"/>
      <c r="U663" s="1048"/>
      <c r="X663" s="16"/>
      <c r="Y663" s="16"/>
    </row>
    <row r="664" spans="1:25" s="42" customFormat="1" ht="15">
      <c r="A664" s="740"/>
      <c r="B664" s="530" t="s">
        <v>2235</v>
      </c>
      <c r="C664" s="164"/>
      <c r="D664" s="444"/>
      <c r="E664" s="329"/>
      <c r="H664" s="283"/>
      <c r="I664" s="283"/>
      <c r="K664" s="283"/>
      <c r="L664" s="283"/>
      <c r="M664" s="283"/>
      <c r="N664" s="283"/>
      <c r="O664" s="815"/>
      <c r="P664" s="164"/>
      <c r="Q664" s="529">
        <v>1000</v>
      </c>
      <c r="R664" s="529">
        <v>1000</v>
      </c>
      <c r="S664" s="1062" t="s">
        <v>6031</v>
      </c>
      <c r="T664" s="1048"/>
      <c r="U664" s="1048"/>
      <c r="X664" s="16"/>
      <c r="Y664" s="16"/>
    </row>
    <row r="665" spans="1:25" s="42" customFormat="1" ht="15">
      <c r="A665" s="740"/>
      <c r="B665" s="530" t="s">
        <v>2236</v>
      </c>
      <c r="C665" s="164"/>
      <c r="D665" s="444"/>
      <c r="E665" s="329"/>
      <c r="H665" s="283"/>
      <c r="I665" s="283"/>
      <c r="K665" s="283"/>
      <c r="L665" s="283"/>
      <c r="M665" s="283"/>
      <c r="N665" s="283"/>
      <c r="O665" s="815"/>
      <c r="P665" s="164"/>
      <c r="Q665" s="529">
        <v>1000</v>
      </c>
      <c r="R665" s="529">
        <v>1000</v>
      </c>
      <c r="S665" s="1062"/>
      <c r="T665" s="1048"/>
      <c r="U665" s="1048"/>
      <c r="X665" s="16"/>
      <c r="Y665" s="16"/>
    </row>
    <row r="666" spans="1:25" s="42" customFormat="1" ht="15">
      <c r="A666" s="740"/>
      <c r="B666" s="530" t="s">
        <v>2237</v>
      </c>
      <c r="C666" s="164"/>
      <c r="D666" s="444"/>
      <c r="E666" s="329"/>
      <c r="H666" s="283"/>
      <c r="I666" s="283"/>
      <c r="K666" s="283"/>
      <c r="L666" s="283"/>
      <c r="M666" s="283"/>
      <c r="N666" s="283"/>
      <c r="O666" s="815"/>
      <c r="P666" s="164"/>
      <c r="Q666" s="529">
        <v>700</v>
      </c>
      <c r="R666" s="529">
        <v>700</v>
      </c>
      <c r="S666" s="1062" t="s">
        <v>6032</v>
      </c>
      <c r="T666" s="1048"/>
      <c r="U666" s="1048"/>
      <c r="X666" s="16"/>
      <c r="Y666" s="16"/>
    </row>
    <row r="667" spans="1:25" s="42" customFormat="1" ht="15">
      <c r="A667" s="740"/>
      <c r="B667" s="530" t="s">
        <v>2238</v>
      </c>
      <c r="C667" s="164"/>
      <c r="D667" s="444"/>
      <c r="E667" s="329"/>
      <c r="H667" s="283"/>
      <c r="I667" s="283"/>
      <c r="K667" s="283"/>
      <c r="L667" s="283"/>
      <c r="M667" s="283"/>
      <c r="N667" s="283"/>
      <c r="O667" s="815"/>
      <c r="P667" s="164"/>
      <c r="Q667" s="529">
        <v>900</v>
      </c>
      <c r="R667" s="529">
        <v>900</v>
      </c>
      <c r="S667" s="1062" t="s">
        <v>6033</v>
      </c>
      <c r="T667" s="1048"/>
      <c r="U667" s="1048"/>
      <c r="X667" s="16"/>
      <c r="Y667" s="16"/>
    </row>
    <row r="668" spans="1:25" s="42" customFormat="1" ht="15">
      <c r="A668" s="740"/>
      <c r="B668" s="530" t="s">
        <v>2239</v>
      </c>
      <c r="C668" s="164"/>
      <c r="D668" s="444"/>
      <c r="E668" s="329"/>
      <c r="H668" s="283"/>
      <c r="I668" s="283"/>
      <c r="K668" s="283"/>
      <c r="L668" s="283"/>
      <c r="M668" s="283"/>
      <c r="N668" s="283"/>
      <c r="O668" s="815"/>
      <c r="P668" s="164"/>
      <c r="Q668" s="529">
        <v>1000</v>
      </c>
      <c r="R668" s="529">
        <v>1000</v>
      </c>
      <c r="S668" s="1062"/>
      <c r="T668" s="1048"/>
      <c r="U668" s="1048"/>
      <c r="X668" s="16"/>
      <c r="Y668" s="16"/>
    </row>
    <row r="669" spans="1:25" s="42" customFormat="1" ht="15">
      <c r="A669" s="740"/>
      <c r="B669" s="530" t="s">
        <v>2240</v>
      </c>
      <c r="C669" s="164"/>
      <c r="D669" s="444"/>
      <c r="E669" s="329"/>
      <c r="H669" s="283"/>
      <c r="I669" s="283"/>
      <c r="K669" s="283"/>
      <c r="L669" s="283"/>
      <c r="M669" s="283"/>
      <c r="N669" s="283"/>
      <c r="O669" s="815"/>
      <c r="P669" s="164"/>
      <c r="Q669" s="529">
        <v>500</v>
      </c>
      <c r="R669" s="529">
        <v>500</v>
      </c>
      <c r="S669" s="1062" t="s">
        <v>6034</v>
      </c>
      <c r="T669" s="1048"/>
      <c r="U669" s="1048"/>
      <c r="X669" s="16"/>
      <c r="Y669" s="16"/>
    </row>
    <row r="670" spans="1:25" s="42" customFormat="1" ht="15">
      <c r="A670" s="740"/>
      <c r="B670" s="1165" t="s">
        <v>2241</v>
      </c>
      <c r="C670" s="164"/>
      <c r="D670" s="444"/>
      <c r="E670" s="329"/>
      <c r="H670" s="283"/>
      <c r="I670" s="283"/>
      <c r="K670" s="283"/>
      <c r="L670" s="283"/>
      <c r="M670" s="283"/>
      <c r="N670" s="283"/>
      <c r="O670" s="815"/>
      <c r="P670" s="164"/>
      <c r="Q670" s="529">
        <v>10000</v>
      </c>
      <c r="R670" s="529">
        <v>10000</v>
      </c>
      <c r="S670" s="1062" t="s">
        <v>6035</v>
      </c>
      <c r="T670" s="1048"/>
      <c r="U670" s="1048"/>
      <c r="X670" s="16"/>
      <c r="Y670" s="16"/>
    </row>
    <row r="671" spans="1:25" s="42" customFormat="1" ht="15">
      <c r="A671" s="740"/>
      <c r="B671" s="530" t="s">
        <v>2242</v>
      </c>
      <c r="C671" s="164"/>
      <c r="D671" s="444"/>
      <c r="E671" s="329"/>
      <c r="H671" s="283"/>
      <c r="I671" s="283"/>
      <c r="K671" s="283"/>
      <c r="L671" s="283"/>
      <c r="M671" s="283"/>
      <c r="N671" s="283"/>
      <c r="O671" s="815"/>
      <c r="P671" s="164"/>
      <c r="Q671" s="529">
        <v>900</v>
      </c>
      <c r="R671" s="529">
        <v>900</v>
      </c>
      <c r="S671" s="1062" t="s">
        <v>6036</v>
      </c>
      <c r="T671" s="1048"/>
      <c r="U671" s="1048"/>
      <c r="X671" s="16"/>
      <c r="Y671" s="16"/>
    </row>
    <row r="672" spans="1:25" s="42" customFormat="1" ht="15">
      <c r="A672" s="740"/>
      <c r="B672" s="530" t="s">
        <v>2243</v>
      </c>
      <c r="C672" s="164"/>
      <c r="D672" s="444"/>
      <c r="E672" s="329"/>
      <c r="H672" s="283"/>
      <c r="I672" s="283"/>
      <c r="K672" s="283"/>
      <c r="L672" s="283"/>
      <c r="M672" s="283"/>
      <c r="N672" s="283"/>
      <c r="O672" s="815"/>
      <c r="P672" s="164"/>
      <c r="Q672" s="529">
        <v>900</v>
      </c>
      <c r="R672" s="529">
        <v>900</v>
      </c>
      <c r="S672" s="1062" t="s">
        <v>6037</v>
      </c>
      <c r="T672" s="1048"/>
      <c r="U672" s="1048"/>
      <c r="X672" s="16"/>
      <c r="Y672" s="16"/>
    </row>
    <row r="673" spans="1:25" s="42" customFormat="1" ht="15">
      <c r="A673" s="740"/>
      <c r="B673" s="530" t="s">
        <v>2244</v>
      </c>
      <c r="C673" s="164"/>
      <c r="D673" s="444"/>
      <c r="E673" s="329"/>
      <c r="H673" s="283"/>
      <c r="I673" s="283"/>
      <c r="K673" s="283"/>
      <c r="L673" s="283"/>
      <c r="M673" s="283"/>
      <c r="N673" s="283"/>
      <c r="O673" s="815"/>
      <c r="P673" s="164"/>
      <c r="Q673" s="529">
        <v>1000</v>
      </c>
      <c r="R673" s="529">
        <v>1000</v>
      </c>
      <c r="S673" s="1062" t="s">
        <v>6038</v>
      </c>
      <c r="T673" s="1048"/>
      <c r="U673" s="1048"/>
      <c r="X673" s="16"/>
      <c r="Y673" s="16"/>
    </row>
    <row r="674" spans="1:25" s="42" customFormat="1" ht="15">
      <c r="A674" s="740"/>
      <c r="B674" s="530" t="s">
        <v>2245</v>
      </c>
      <c r="C674" s="164"/>
      <c r="D674" s="444"/>
      <c r="E674" s="329"/>
      <c r="H674" s="283"/>
      <c r="I674" s="283"/>
      <c r="K674" s="283"/>
      <c r="L674" s="283"/>
      <c r="M674" s="283"/>
      <c r="N674" s="283"/>
      <c r="O674" s="815"/>
      <c r="P674" s="164"/>
      <c r="Q674" s="529">
        <v>1000</v>
      </c>
      <c r="R674" s="529">
        <v>1000</v>
      </c>
      <c r="S674" s="1062" t="s">
        <v>6039</v>
      </c>
      <c r="T674" s="1048"/>
      <c r="U674" s="1048"/>
      <c r="X674" s="16"/>
      <c r="Y674" s="16"/>
    </row>
    <row r="675" spans="1:25" s="42" customFormat="1" ht="15">
      <c r="A675" s="740"/>
      <c r="B675" s="530" t="s">
        <v>2246</v>
      </c>
      <c r="C675" s="164"/>
      <c r="D675" s="444"/>
      <c r="E675" s="329"/>
      <c r="H675" s="283"/>
      <c r="I675" s="283"/>
      <c r="K675" s="283"/>
      <c r="L675" s="283"/>
      <c r="M675" s="283"/>
      <c r="N675" s="283"/>
      <c r="O675" s="815"/>
      <c r="P675" s="164"/>
      <c r="Q675" s="529">
        <v>2000</v>
      </c>
      <c r="R675" s="529">
        <v>2000</v>
      </c>
      <c r="S675" s="1062"/>
      <c r="T675" s="1048"/>
      <c r="U675" s="1048"/>
      <c r="X675" s="16"/>
      <c r="Y675" s="16"/>
    </row>
    <row r="676" spans="1:25" s="42" customFormat="1" ht="15">
      <c r="A676" s="740"/>
      <c r="B676" s="530" t="s">
        <v>2247</v>
      </c>
      <c r="C676" s="164"/>
      <c r="D676" s="444"/>
      <c r="E676" s="329"/>
      <c r="H676" s="283"/>
      <c r="I676" s="283"/>
      <c r="K676" s="283"/>
      <c r="L676" s="283"/>
      <c r="M676" s="283"/>
      <c r="N676" s="283"/>
      <c r="O676" s="815"/>
      <c r="P676" s="164"/>
      <c r="Q676" s="529">
        <v>500</v>
      </c>
      <c r="R676" s="529">
        <v>500</v>
      </c>
      <c r="S676" s="1062" t="s">
        <v>6040</v>
      </c>
      <c r="T676" s="1048"/>
      <c r="U676" s="1048"/>
      <c r="X676" s="16"/>
      <c r="Y676" s="16"/>
    </row>
    <row r="677" spans="1:25" s="42" customFormat="1" ht="15">
      <c r="A677" s="740"/>
      <c r="B677" s="446"/>
      <c r="C677" s="164"/>
      <c r="D677" s="444"/>
      <c r="E677" s="647"/>
      <c r="H677" s="283"/>
      <c r="I677" s="283"/>
      <c r="K677" s="283"/>
      <c r="L677" s="283"/>
      <c r="M677" s="283"/>
      <c r="N677" s="283"/>
      <c r="O677" s="815"/>
      <c r="P677" s="164"/>
      <c r="Q677" s="351"/>
      <c r="R677" s="351"/>
      <c r="S677" s="933"/>
      <c r="T677" s="933"/>
      <c r="U677" s="933"/>
      <c r="X677" s="16"/>
      <c r="Y677" s="16"/>
    </row>
    <row r="678" spans="1:25" s="42" customFormat="1" ht="15">
      <c r="A678" s="740"/>
      <c r="B678" s="446" t="s">
        <v>1678</v>
      </c>
      <c r="C678" s="164" t="s">
        <v>2248</v>
      </c>
      <c r="D678" s="444">
        <v>40876</v>
      </c>
      <c r="E678" s="647"/>
      <c r="F678" s="42" t="s">
        <v>315</v>
      </c>
      <c r="H678" s="283"/>
      <c r="I678" s="283"/>
      <c r="K678" s="283"/>
      <c r="L678" s="283"/>
      <c r="M678" s="283"/>
      <c r="N678" s="283"/>
      <c r="O678" s="815"/>
      <c r="P678" s="164" t="s">
        <v>104</v>
      </c>
      <c r="Q678" s="351">
        <f>SUM(Q679:Q776)</f>
        <v>376000</v>
      </c>
      <c r="R678" s="351">
        <f>SUM(R679:R776)</f>
        <v>357821</v>
      </c>
      <c r="S678" s="933"/>
      <c r="T678" s="933"/>
      <c r="U678" s="933"/>
      <c r="W678" s="42" t="s">
        <v>2002</v>
      </c>
      <c r="X678" s="16">
        <f t="shared" si="97"/>
        <v>0</v>
      </c>
      <c r="Y678" s="16">
        <f>X678-M678</f>
        <v>0</v>
      </c>
    </row>
    <row r="679" spans="1:25" s="42" customFormat="1" ht="15">
      <c r="A679" s="740"/>
      <c r="B679" s="446" t="s">
        <v>5134</v>
      </c>
      <c r="C679" s="164"/>
      <c r="D679" s="444"/>
      <c r="E679" s="647"/>
      <c r="H679" s="283"/>
      <c r="I679" s="283"/>
      <c r="K679" s="791">
        <v>10000</v>
      </c>
      <c r="L679" s="283"/>
      <c r="M679" s="283">
        <f t="shared" ref="M679:M710" si="99">SUM(K679:L679)</f>
        <v>10000</v>
      </c>
      <c r="N679" s="283"/>
      <c r="O679" s="815"/>
      <c r="P679" s="164"/>
      <c r="Q679" s="351">
        <v>10000</v>
      </c>
      <c r="R679" s="90">
        <v>10000</v>
      </c>
      <c r="S679" s="1327" t="s">
        <v>5394</v>
      </c>
      <c r="T679" s="1327"/>
      <c r="U679" s="1327"/>
      <c r="X679" s="16"/>
      <c r="Y679" s="16"/>
    </row>
    <row r="680" spans="1:25" s="42" customFormat="1" ht="15">
      <c r="A680" s="740"/>
      <c r="B680" s="446" t="s">
        <v>5302</v>
      </c>
      <c r="C680" s="164"/>
      <c r="D680" s="444"/>
      <c r="E680" s="647"/>
      <c r="H680" s="283"/>
      <c r="I680" s="283"/>
      <c r="K680" s="791">
        <v>800</v>
      </c>
      <c r="L680" s="283"/>
      <c r="M680" s="283">
        <f t="shared" si="99"/>
        <v>800</v>
      </c>
      <c r="N680" s="283"/>
      <c r="O680" s="815"/>
      <c r="P680" s="164"/>
      <c r="Q680" s="351">
        <v>800</v>
      </c>
      <c r="R680" s="90">
        <v>800</v>
      </c>
      <c r="S680" s="1327" t="s">
        <v>5394</v>
      </c>
      <c r="T680" s="1327"/>
      <c r="U680" s="1327"/>
      <c r="X680" s="16"/>
      <c r="Y680" s="16"/>
    </row>
    <row r="681" spans="1:25" s="42" customFormat="1" ht="15">
      <c r="A681" s="740"/>
      <c r="B681" s="446" t="s">
        <v>5303</v>
      </c>
      <c r="C681" s="164"/>
      <c r="D681" s="444"/>
      <c r="E681" s="647"/>
      <c r="H681" s="283"/>
      <c r="I681" s="283"/>
      <c r="K681" s="791">
        <v>800</v>
      </c>
      <c r="L681" s="283"/>
      <c r="M681" s="283">
        <f t="shared" si="99"/>
        <v>800</v>
      </c>
      <c r="N681" s="283"/>
      <c r="O681" s="815"/>
      <c r="P681" s="164"/>
      <c r="Q681" s="351">
        <v>800</v>
      </c>
      <c r="R681" s="90">
        <v>800</v>
      </c>
      <c r="S681" s="1327" t="s">
        <v>5394</v>
      </c>
      <c r="T681" s="1327"/>
      <c r="U681" s="1327"/>
      <c r="X681" s="16"/>
      <c r="Y681" s="16"/>
    </row>
    <row r="682" spans="1:25" s="42" customFormat="1" ht="15">
      <c r="A682" s="740"/>
      <c r="B682" s="446" t="s">
        <v>5304</v>
      </c>
      <c r="C682" s="164"/>
      <c r="D682" s="444"/>
      <c r="E682" s="647"/>
      <c r="H682" s="283"/>
      <c r="I682" s="283"/>
      <c r="K682" s="791">
        <v>800</v>
      </c>
      <c r="L682" s="283"/>
      <c r="M682" s="283">
        <f t="shared" si="99"/>
        <v>800</v>
      </c>
      <c r="N682" s="283"/>
      <c r="O682" s="815"/>
      <c r="P682" s="164"/>
      <c r="Q682" s="351">
        <v>800</v>
      </c>
      <c r="R682" s="90">
        <v>800</v>
      </c>
      <c r="S682" s="1327" t="s">
        <v>5394</v>
      </c>
      <c r="T682" s="1327"/>
      <c r="U682" s="1327"/>
      <c r="X682" s="16"/>
      <c r="Y682" s="16"/>
    </row>
    <row r="683" spans="1:25" s="42" customFormat="1" ht="15">
      <c r="A683" s="740"/>
      <c r="B683" s="446" t="s">
        <v>5305</v>
      </c>
      <c r="C683" s="164"/>
      <c r="D683" s="444"/>
      <c r="E683" s="647"/>
      <c r="H683" s="283"/>
      <c r="I683" s="283"/>
      <c r="K683" s="791">
        <v>1000</v>
      </c>
      <c r="L683" s="283"/>
      <c r="M683" s="283">
        <f t="shared" si="99"/>
        <v>1000</v>
      </c>
      <c r="N683" s="283"/>
      <c r="O683" s="815"/>
      <c r="P683" s="164"/>
      <c r="Q683" s="351">
        <v>1000</v>
      </c>
      <c r="R683" s="90">
        <v>1000</v>
      </c>
      <c r="S683" s="1327" t="s">
        <v>5394</v>
      </c>
      <c r="T683" s="1327"/>
      <c r="U683" s="1327"/>
      <c r="X683" s="16"/>
      <c r="Y683" s="16"/>
    </row>
    <row r="684" spans="1:25" s="42" customFormat="1" ht="15">
      <c r="A684" s="740"/>
      <c r="B684" s="446" t="s">
        <v>5306</v>
      </c>
      <c r="C684" s="164"/>
      <c r="D684" s="444"/>
      <c r="E684" s="647"/>
      <c r="H684" s="283"/>
      <c r="I684" s="283"/>
      <c r="K684" s="791">
        <v>1000</v>
      </c>
      <c r="L684" s="283"/>
      <c r="M684" s="283">
        <f t="shared" si="99"/>
        <v>1000</v>
      </c>
      <c r="N684" s="283"/>
      <c r="O684" s="815"/>
      <c r="P684" s="164"/>
      <c r="Q684" s="351">
        <v>1000</v>
      </c>
      <c r="R684" s="90">
        <v>1000</v>
      </c>
      <c r="S684" s="1327" t="s">
        <v>5394</v>
      </c>
      <c r="T684" s="1327"/>
      <c r="U684" s="1327"/>
      <c r="X684" s="16"/>
      <c r="Y684" s="16"/>
    </row>
    <row r="685" spans="1:25" s="42" customFormat="1" ht="15">
      <c r="A685" s="740"/>
      <c r="B685" s="446" t="s">
        <v>5307</v>
      </c>
      <c r="C685" s="164"/>
      <c r="D685" s="444"/>
      <c r="E685" s="647"/>
      <c r="H685" s="283"/>
      <c r="I685" s="283"/>
      <c r="K685" s="791">
        <v>1000</v>
      </c>
      <c r="L685" s="283"/>
      <c r="M685" s="283">
        <f t="shared" si="99"/>
        <v>1000</v>
      </c>
      <c r="N685" s="283"/>
      <c r="O685" s="815"/>
      <c r="P685" s="164"/>
      <c r="Q685" s="351">
        <v>1000</v>
      </c>
      <c r="R685" s="90">
        <v>1000</v>
      </c>
      <c r="S685" s="1327" t="s">
        <v>5394</v>
      </c>
      <c r="T685" s="1327"/>
      <c r="U685" s="1327"/>
      <c r="X685" s="16"/>
      <c r="Y685" s="16"/>
    </row>
    <row r="686" spans="1:25" s="42" customFormat="1" ht="15">
      <c r="A686" s="740"/>
      <c r="B686" s="446" t="s">
        <v>5308</v>
      </c>
      <c r="C686" s="164"/>
      <c r="D686" s="444"/>
      <c r="E686" s="647"/>
      <c r="H686" s="283"/>
      <c r="I686" s="283"/>
      <c r="K686" s="791">
        <v>10000</v>
      </c>
      <c r="L686" s="283"/>
      <c r="M686" s="283">
        <f t="shared" si="99"/>
        <v>10000</v>
      </c>
      <c r="N686" s="283"/>
      <c r="O686" s="815"/>
      <c r="P686" s="164"/>
      <c r="Q686" s="351">
        <v>10000</v>
      </c>
      <c r="R686" s="90">
        <v>10000</v>
      </c>
      <c r="S686" s="1327" t="s">
        <v>5394</v>
      </c>
      <c r="T686" s="1327"/>
      <c r="U686" s="1327"/>
      <c r="X686" s="16"/>
      <c r="Y686" s="16"/>
    </row>
    <row r="687" spans="1:25" s="42" customFormat="1" ht="60" customHeight="1">
      <c r="A687" s="740"/>
      <c r="B687" s="101" t="s">
        <v>5309</v>
      </c>
      <c r="C687" s="164"/>
      <c r="D687" s="444"/>
      <c r="E687" s="647"/>
      <c r="H687" s="283"/>
      <c r="I687" s="283"/>
      <c r="K687" s="791">
        <v>800</v>
      </c>
      <c r="L687" s="283"/>
      <c r="M687" s="21">
        <f t="shared" si="99"/>
        <v>800</v>
      </c>
      <c r="N687" s="21"/>
      <c r="O687" s="58"/>
      <c r="P687" s="108"/>
      <c r="Q687" s="93">
        <v>800</v>
      </c>
      <c r="R687" s="67">
        <v>800</v>
      </c>
      <c r="S687" s="1338" t="s">
        <v>6139</v>
      </c>
      <c r="T687" s="1338"/>
      <c r="U687" s="1338"/>
      <c r="X687" s="16"/>
      <c r="Y687" s="16"/>
    </row>
    <row r="688" spans="1:25" s="42" customFormat="1" ht="15">
      <c r="A688" s="740"/>
      <c r="B688" s="446" t="s">
        <v>5310</v>
      </c>
      <c r="C688" s="164"/>
      <c r="D688" s="444"/>
      <c r="E688" s="647"/>
      <c r="H688" s="283"/>
      <c r="I688" s="283"/>
      <c r="K688" s="791">
        <v>800</v>
      </c>
      <c r="L688" s="283"/>
      <c r="M688" s="283">
        <f t="shared" si="99"/>
        <v>800</v>
      </c>
      <c r="N688" s="283"/>
      <c r="O688" s="815"/>
      <c r="P688" s="164"/>
      <c r="Q688" s="351">
        <v>800</v>
      </c>
      <c r="R688" s="90">
        <v>800</v>
      </c>
      <c r="S688" s="1327" t="s">
        <v>5394</v>
      </c>
      <c r="T688" s="1327"/>
      <c r="U688" s="1327"/>
      <c r="X688" s="16"/>
      <c r="Y688" s="16"/>
    </row>
    <row r="689" spans="1:25" s="42" customFormat="1" ht="15">
      <c r="A689" s="740"/>
      <c r="B689" s="446" t="s">
        <v>5311</v>
      </c>
      <c r="C689" s="164"/>
      <c r="D689" s="444"/>
      <c r="E689" s="647"/>
      <c r="H689" s="283"/>
      <c r="I689" s="283"/>
      <c r="K689" s="791">
        <v>1000</v>
      </c>
      <c r="L689" s="283"/>
      <c r="M689" s="283">
        <f t="shared" si="99"/>
        <v>1000</v>
      </c>
      <c r="N689" s="283"/>
      <c r="O689" s="815"/>
      <c r="P689" s="164"/>
      <c r="Q689" s="351">
        <v>1000</v>
      </c>
      <c r="R689" s="90">
        <v>1000</v>
      </c>
      <c r="S689" s="1327" t="s">
        <v>5394</v>
      </c>
      <c r="T689" s="1327"/>
      <c r="U689" s="1327"/>
      <c r="X689" s="16"/>
      <c r="Y689" s="16"/>
    </row>
    <row r="690" spans="1:25" s="42" customFormat="1" ht="15">
      <c r="A690" s="740"/>
      <c r="B690" s="446" t="s">
        <v>5312</v>
      </c>
      <c r="C690" s="164"/>
      <c r="D690" s="444"/>
      <c r="E690" s="647"/>
      <c r="H690" s="283"/>
      <c r="I690" s="283"/>
      <c r="K690" s="791">
        <v>1000</v>
      </c>
      <c r="L690" s="283"/>
      <c r="M690" s="283">
        <f t="shared" si="99"/>
        <v>1000</v>
      </c>
      <c r="N690" s="283"/>
      <c r="O690" s="815"/>
      <c r="P690" s="164"/>
      <c r="Q690" s="351">
        <v>1000</v>
      </c>
      <c r="R690" s="90">
        <v>1000</v>
      </c>
      <c r="S690" s="1327" t="s">
        <v>6140</v>
      </c>
      <c r="T690" s="1327"/>
      <c r="U690" s="1327"/>
      <c r="X690" s="16"/>
      <c r="Y690" s="16"/>
    </row>
    <row r="691" spans="1:25" s="42" customFormat="1" ht="15">
      <c r="A691" s="740"/>
      <c r="B691" s="446" t="s">
        <v>5313</v>
      </c>
      <c r="C691" s="164"/>
      <c r="D691" s="444"/>
      <c r="E691" s="647"/>
      <c r="H691" s="283"/>
      <c r="I691" s="283"/>
      <c r="K691" s="791">
        <v>800</v>
      </c>
      <c r="L691" s="283"/>
      <c r="M691" s="283">
        <f t="shared" si="99"/>
        <v>800</v>
      </c>
      <c r="N691" s="283"/>
      <c r="O691" s="815"/>
      <c r="P691" s="164"/>
      <c r="Q691" s="351">
        <v>800</v>
      </c>
      <c r="R691" s="90">
        <v>800</v>
      </c>
      <c r="S691" s="1327" t="s">
        <v>5394</v>
      </c>
      <c r="T691" s="1327"/>
      <c r="U691" s="1327"/>
      <c r="X691" s="16"/>
      <c r="Y691" s="16"/>
    </row>
    <row r="692" spans="1:25" s="42" customFormat="1" ht="15">
      <c r="A692" s="740"/>
      <c r="B692" s="446" t="s">
        <v>5314</v>
      </c>
      <c r="C692" s="164"/>
      <c r="D692" s="444"/>
      <c r="E692" s="647"/>
      <c r="H692" s="283"/>
      <c r="I692" s="283"/>
      <c r="K692" s="791">
        <v>1000</v>
      </c>
      <c r="L692" s="283"/>
      <c r="M692" s="283">
        <f t="shared" si="99"/>
        <v>1000</v>
      </c>
      <c r="N692" s="283"/>
      <c r="O692" s="815"/>
      <c r="P692" s="164"/>
      <c r="Q692" s="351">
        <v>1000</v>
      </c>
      <c r="R692" s="90">
        <v>1000</v>
      </c>
      <c r="S692" s="1327" t="s">
        <v>5394</v>
      </c>
      <c r="T692" s="1327"/>
      <c r="U692" s="1327"/>
      <c r="X692" s="16"/>
      <c r="Y692" s="16"/>
    </row>
    <row r="693" spans="1:25" s="42" customFormat="1" ht="15">
      <c r="A693" s="740"/>
      <c r="B693" s="446" t="s">
        <v>5315</v>
      </c>
      <c r="C693" s="164"/>
      <c r="D693" s="444"/>
      <c r="E693" s="647"/>
      <c r="H693" s="283"/>
      <c r="I693" s="283"/>
      <c r="K693" s="791">
        <v>800</v>
      </c>
      <c r="L693" s="283"/>
      <c r="M693" s="283">
        <f t="shared" si="99"/>
        <v>800</v>
      </c>
      <c r="N693" s="283"/>
      <c r="O693" s="815"/>
      <c r="P693" s="164"/>
      <c r="Q693" s="351">
        <v>800</v>
      </c>
      <c r="R693" s="90">
        <v>800</v>
      </c>
      <c r="S693" s="1327" t="s">
        <v>5394</v>
      </c>
      <c r="T693" s="1327"/>
      <c r="U693" s="1327"/>
      <c r="X693" s="16"/>
      <c r="Y693" s="16"/>
    </row>
    <row r="694" spans="1:25" s="42" customFormat="1" ht="15">
      <c r="A694" s="740"/>
      <c r="B694" s="446" t="s">
        <v>5316</v>
      </c>
      <c r="C694" s="164"/>
      <c r="D694" s="444"/>
      <c r="E694" s="647"/>
      <c r="H694" s="283"/>
      <c r="I694" s="283"/>
      <c r="K694" s="791">
        <v>700</v>
      </c>
      <c r="L694" s="283"/>
      <c r="M694" s="283">
        <f t="shared" si="99"/>
        <v>700</v>
      </c>
      <c r="N694" s="283"/>
      <c r="O694" s="815"/>
      <c r="P694" s="164"/>
      <c r="Q694" s="351">
        <v>700</v>
      </c>
      <c r="R694" s="90">
        <v>700</v>
      </c>
      <c r="S694" s="1327" t="s">
        <v>6141</v>
      </c>
      <c r="T694" s="1327"/>
      <c r="U694" s="1327"/>
      <c r="X694" s="16"/>
      <c r="Y694" s="16"/>
    </row>
    <row r="695" spans="1:25" s="42" customFormat="1" ht="51" customHeight="1">
      <c r="A695" s="740"/>
      <c r="B695" s="101" t="s">
        <v>5317</v>
      </c>
      <c r="C695" s="164"/>
      <c r="D695" s="444"/>
      <c r="E695" s="647"/>
      <c r="H695" s="283"/>
      <c r="I695" s="283"/>
      <c r="K695" s="791">
        <v>15000</v>
      </c>
      <c r="L695" s="283"/>
      <c r="M695" s="21">
        <f t="shared" si="99"/>
        <v>15000</v>
      </c>
      <c r="N695" s="21"/>
      <c r="O695" s="58"/>
      <c r="P695" s="108"/>
      <c r="Q695" s="93">
        <v>15000</v>
      </c>
      <c r="R695" s="67">
        <v>15000</v>
      </c>
      <c r="S695" s="1338" t="s">
        <v>6142</v>
      </c>
      <c r="T695" s="1338"/>
      <c r="U695" s="1338"/>
      <c r="X695" s="16"/>
      <c r="Y695" s="16"/>
    </row>
    <row r="696" spans="1:25" s="42" customFormat="1" ht="15">
      <c r="A696" s="740"/>
      <c r="B696" s="446" t="s">
        <v>5318</v>
      </c>
      <c r="C696" s="164"/>
      <c r="D696" s="444"/>
      <c r="E696" s="647"/>
      <c r="H696" s="283"/>
      <c r="I696" s="283"/>
      <c r="K696" s="791">
        <v>40000</v>
      </c>
      <c r="L696" s="283"/>
      <c r="M696" s="283">
        <f t="shared" si="99"/>
        <v>40000</v>
      </c>
      <c r="N696" s="283"/>
      <c r="O696" s="815"/>
      <c r="P696" s="164"/>
      <c r="Q696" s="351">
        <v>40000</v>
      </c>
      <c r="R696" s="90">
        <v>40000</v>
      </c>
      <c r="S696" s="1327" t="s">
        <v>5394</v>
      </c>
      <c r="T696" s="1327"/>
      <c r="U696" s="1327"/>
      <c r="X696" s="16"/>
      <c r="Y696" s="16"/>
    </row>
    <row r="697" spans="1:25" s="42" customFormat="1" ht="15">
      <c r="A697" s="740"/>
      <c r="B697" s="446" t="s">
        <v>5319</v>
      </c>
      <c r="C697" s="164"/>
      <c r="D697" s="444"/>
      <c r="E697" s="647"/>
      <c r="H697" s="283"/>
      <c r="I697" s="283"/>
      <c r="K697" s="791">
        <v>900</v>
      </c>
      <c r="L697" s="283"/>
      <c r="M697" s="283">
        <f t="shared" si="99"/>
        <v>900</v>
      </c>
      <c r="N697" s="283"/>
      <c r="O697" s="815"/>
      <c r="P697" s="164"/>
      <c r="Q697" s="351">
        <v>900</v>
      </c>
      <c r="R697" s="90">
        <v>897</v>
      </c>
      <c r="S697" s="1327" t="s">
        <v>6143</v>
      </c>
      <c r="T697" s="1327"/>
      <c r="U697" s="1327"/>
      <c r="X697" s="16"/>
      <c r="Y697" s="16"/>
    </row>
    <row r="698" spans="1:25" s="42" customFormat="1" ht="15">
      <c r="A698" s="740"/>
      <c r="B698" s="446" t="s">
        <v>5320</v>
      </c>
      <c r="C698" s="164"/>
      <c r="D698" s="444"/>
      <c r="E698" s="647"/>
      <c r="H698" s="283"/>
      <c r="I698" s="283"/>
      <c r="K698" s="791">
        <v>1000</v>
      </c>
      <c r="L698" s="283"/>
      <c r="M698" s="283">
        <f t="shared" si="99"/>
        <v>1000</v>
      </c>
      <c r="N698" s="283"/>
      <c r="O698" s="815"/>
      <c r="P698" s="164"/>
      <c r="Q698" s="351">
        <v>1000</v>
      </c>
      <c r="R698" s="90">
        <v>1000</v>
      </c>
      <c r="S698" s="1327" t="s">
        <v>5394</v>
      </c>
      <c r="T698" s="1327"/>
      <c r="U698" s="1327"/>
      <c r="X698" s="16"/>
      <c r="Y698" s="16"/>
    </row>
    <row r="699" spans="1:25" s="42" customFormat="1" ht="15">
      <c r="A699" s="740"/>
      <c r="B699" s="446" t="s">
        <v>5321</v>
      </c>
      <c r="C699" s="164"/>
      <c r="D699" s="444"/>
      <c r="E699" s="647"/>
      <c r="H699" s="283"/>
      <c r="I699" s="283"/>
      <c r="K699" s="791">
        <v>1000</v>
      </c>
      <c r="L699" s="283"/>
      <c r="M699" s="283">
        <f t="shared" si="99"/>
        <v>1000</v>
      </c>
      <c r="N699" s="283"/>
      <c r="O699" s="815"/>
      <c r="P699" s="164"/>
      <c r="Q699" s="351">
        <v>1000</v>
      </c>
      <c r="R699" s="90">
        <v>1000</v>
      </c>
      <c r="S699" s="1327" t="s">
        <v>5394</v>
      </c>
      <c r="T699" s="1327"/>
      <c r="U699" s="1327"/>
      <c r="X699" s="16"/>
      <c r="Y699" s="16"/>
    </row>
    <row r="700" spans="1:25" s="42" customFormat="1" ht="36" customHeight="1">
      <c r="A700" s="740"/>
      <c r="B700" s="101" t="s">
        <v>5322</v>
      </c>
      <c r="C700" s="164"/>
      <c r="D700" s="444"/>
      <c r="E700" s="647"/>
      <c r="H700" s="283"/>
      <c r="I700" s="283"/>
      <c r="K700" s="791">
        <v>1000</v>
      </c>
      <c r="L700" s="283"/>
      <c r="M700" s="21">
        <f t="shared" si="99"/>
        <v>1000</v>
      </c>
      <c r="N700" s="21"/>
      <c r="O700" s="58"/>
      <c r="P700" s="108"/>
      <c r="Q700" s="93">
        <v>1000</v>
      </c>
      <c r="R700" s="67">
        <v>991</v>
      </c>
      <c r="S700" s="1338" t="s">
        <v>6144</v>
      </c>
      <c r="T700" s="1338"/>
      <c r="U700" s="1338"/>
      <c r="X700" s="16"/>
      <c r="Y700" s="16"/>
    </row>
    <row r="701" spans="1:25" s="42" customFormat="1" ht="15">
      <c r="A701" s="740"/>
      <c r="B701" s="446" t="s">
        <v>5323</v>
      </c>
      <c r="C701" s="164"/>
      <c r="D701" s="444"/>
      <c r="E701" s="647"/>
      <c r="H701" s="283"/>
      <c r="I701" s="283"/>
      <c r="K701" s="791">
        <v>1000</v>
      </c>
      <c r="L701" s="283"/>
      <c r="M701" s="283">
        <f t="shared" si="99"/>
        <v>1000</v>
      </c>
      <c r="N701" s="283"/>
      <c r="O701" s="815"/>
      <c r="P701" s="164"/>
      <c r="Q701" s="351">
        <v>1000</v>
      </c>
      <c r="R701" s="90">
        <v>1000</v>
      </c>
      <c r="S701" s="1327" t="s">
        <v>5394</v>
      </c>
      <c r="T701" s="1327"/>
      <c r="U701" s="1327"/>
      <c r="X701" s="16"/>
      <c r="Y701" s="16"/>
    </row>
    <row r="702" spans="1:25" s="42" customFormat="1" ht="15">
      <c r="A702" s="740"/>
      <c r="B702" s="446" t="s">
        <v>5324</v>
      </c>
      <c r="C702" s="164"/>
      <c r="D702" s="444"/>
      <c r="E702" s="647"/>
      <c r="H702" s="283"/>
      <c r="I702" s="283"/>
      <c r="K702" s="791">
        <v>1000</v>
      </c>
      <c r="L702" s="283"/>
      <c r="M702" s="283">
        <f t="shared" si="99"/>
        <v>1000</v>
      </c>
      <c r="N702" s="283"/>
      <c r="O702" s="815"/>
      <c r="P702" s="164"/>
      <c r="Q702" s="351">
        <v>1000</v>
      </c>
      <c r="R702" s="90">
        <v>1000</v>
      </c>
      <c r="S702" s="1327" t="s">
        <v>5394</v>
      </c>
      <c r="T702" s="1327"/>
      <c r="U702" s="1327"/>
      <c r="X702" s="16"/>
      <c r="Y702" s="16"/>
    </row>
    <row r="703" spans="1:25" s="42" customFormat="1" ht="15">
      <c r="A703" s="740"/>
      <c r="B703" s="446" t="s">
        <v>5325</v>
      </c>
      <c r="C703" s="164"/>
      <c r="D703" s="444"/>
      <c r="E703" s="647"/>
      <c r="H703" s="283"/>
      <c r="I703" s="283"/>
      <c r="K703" s="791">
        <v>1000</v>
      </c>
      <c r="L703" s="283"/>
      <c r="M703" s="283">
        <f t="shared" si="99"/>
        <v>1000</v>
      </c>
      <c r="N703" s="283"/>
      <c r="O703" s="815"/>
      <c r="P703" s="164"/>
      <c r="Q703" s="351">
        <v>1000</v>
      </c>
      <c r="R703" s="90">
        <v>1000</v>
      </c>
      <c r="S703" s="1327" t="s">
        <v>5394</v>
      </c>
      <c r="T703" s="1327"/>
      <c r="U703" s="1327"/>
      <c r="X703" s="16"/>
      <c r="Y703" s="16"/>
    </row>
    <row r="704" spans="1:25" s="42" customFormat="1" ht="15">
      <c r="A704" s="740"/>
      <c r="B704" s="446" t="s">
        <v>5326</v>
      </c>
      <c r="C704" s="164"/>
      <c r="D704" s="444"/>
      <c r="E704" s="647"/>
      <c r="H704" s="283"/>
      <c r="I704" s="283"/>
      <c r="K704" s="791">
        <v>1000</v>
      </c>
      <c r="L704" s="283"/>
      <c r="M704" s="283">
        <f t="shared" si="99"/>
        <v>1000</v>
      </c>
      <c r="N704" s="283"/>
      <c r="O704" s="815"/>
      <c r="P704" s="164"/>
      <c r="Q704" s="351">
        <v>1000</v>
      </c>
      <c r="R704" s="90">
        <v>1000</v>
      </c>
      <c r="S704" s="1327" t="s">
        <v>5394</v>
      </c>
      <c r="T704" s="1327"/>
      <c r="U704" s="1327"/>
      <c r="X704" s="16"/>
      <c r="Y704" s="16"/>
    </row>
    <row r="705" spans="1:25" s="42" customFormat="1" ht="15">
      <c r="A705" s="740"/>
      <c r="B705" s="446" t="s">
        <v>5327</v>
      </c>
      <c r="C705" s="164"/>
      <c r="D705" s="444"/>
      <c r="E705" s="647"/>
      <c r="H705" s="283"/>
      <c r="I705" s="283"/>
      <c r="K705" s="791">
        <v>1000</v>
      </c>
      <c r="L705" s="283"/>
      <c r="M705" s="283">
        <f t="shared" si="99"/>
        <v>1000</v>
      </c>
      <c r="N705" s="283"/>
      <c r="O705" s="815"/>
      <c r="P705" s="164"/>
      <c r="Q705" s="351">
        <v>1000</v>
      </c>
      <c r="R705" s="90">
        <v>1000</v>
      </c>
      <c r="S705" s="1327" t="s">
        <v>5394</v>
      </c>
      <c r="T705" s="1327"/>
      <c r="U705" s="1327"/>
      <c r="X705" s="16"/>
      <c r="Y705" s="16"/>
    </row>
    <row r="706" spans="1:25" s="42" customFormat="1" ht="15">
      <c r="A706" s="740"/>
      <c r="B706" s="446" t="s">
        <v>5328</v>
      </c>
      <c r="C706" s="164"/>
      <c r="D706" s="444"/>
      <c r="E706" s="647"/>
      <c r="H706" s="283"/>
      <c r="I706" s="283"/>
      <c r="K706" s="791">
        <v>1000</v>
      </c>
      <c r="L706" s="283"/>
      <c r="M706" s="283">
        <f t="shared" si="99"/>
        <v>1000</v>
      </c>
      <c r="N706" s="283"/>
      <c r="O706" s="815"/>
      <c r="P706" s="164"/>
      <c r="Q706" s="351">
        <v>1000</v>
      </c>
      <c r="R706" s="90">
        <v>1000</v>
      </c>
      <c r="S706" s="1327" t="s">
        <v>5394</v>
      </c>
      <c r="T706" s="1327"/>
      <c r="U706" s="1327"/>
      <c r="X706" s="16"/>
      <c r="Y706" s="16"/>
    </row>
    <row r="707" spans="1:25" s="42" customFormat="1" ht="15">
      <c r="A707" s="740"/>
      <c r="B707" s="446" t="s">
        <v>5329</v>
      </c>
      <c r="C707" s="164"/>
      <c r="D707" s="444"/>
      <c r="E707" s="647"/>
      <c r="H707" s="283"/>
      <c r="I707" s="283"/>
      <c r="K707" s="791">
        <v>900</v>
      </c>
      <c r="L707" s="283"/>
      <c r="M707" s="283">
        <f t="shared" si="99"/>
        <v>900</v>
      </c>
      <c r="N707" s="283"/>
      <c r="O707" s="815"/>
      <c r="P707" s="164"/>
      <c r="Q707" s="351">
        <v>900</v>
      </c>
      <c r="R707" s="90">
        <v>900</v>
      </c>
      <c r="S707" s="1327" t="s">
        <v>5394</v>
      </c>
      <c r="T707" s="1327"/>
      <c r="U707" s="1327"/>
      <c r="X707" s="16"/>
      <c r="Y707" s="16"/>
    </row>
    <row r="708" spans="1:25" s="42" customFormat="1" ht="15">
      <c r="A708" s="740"/>
      <c r="B708" s="446" t="s">
        <v>5330</v>
      </c>
      <c r="C708" s="164"/>
      <c r="D708" s="444"/>
      <c r="E708" s="647"/>
      <c r="H708" s="283"/>
      <c r="I708" s="283"/>
      <c r="K708" s="791">
        <v>1000</v>
      </c>
      <c r="L708" s="283"/>
      <c r="M708" s="283">
        <f t="shared" si="99"/>
        <v>1000</v>
      </c>
      <c r="N708" s="283"/>
      <c r="O708" s="815"/>
      <c r="P708" s="164"/>
      <c r="Q708" s="351">
        <v>1000</v>
      </c>
      <c r="R708" s="90">
        <v>1000</v>
      </c>
      <c r="S708" s="1327" t="s">
        <v>5394</v>
      </c>
      <c r="T708" s="1327"/>
      <c r="U708" s="1327"/>
      <c r="X708" s="16"/>
      <c r="Y708" s="16"/>
    </row>
    <row r="709" spans="1:25" s="42" customFormat="1" ht="15">
      <c r="A709" s="740"/>
      <c r="B709" s="446" t="s">
        <v>5331</v>
      </c>
      <c r="C709" s="164"/>
      <c r="D709" s="444"/>
      <c r="E709" s="647"/>
      <c r="H709" s="283"/>
      <c r="I709" s="283"/>
      <c r="K709" s="791">
        <v>900</v>
      </c>
      <c r="L709" s="283"/>
      <c r="M709" s="283">
        <f t="shared" si="99"/>
        <v>900</v>
      </c>
      <c r="N709" s="283"/>
      <c r="O709" s="815"/>
      <c r="P709" s="164"/>
      <c r="Q709" s="351">
        <v>900</v>
      </c>
      <c r="R709" s="90">
        <v>900</v>
      </c>
      <c r="S709" s="1327" t="s">
        <v>5394</v>
      </c>
      <c r="T709" s="1327"/>
      <c r="U709" s="1327"/>
      <c r="X709" s="16"/>
      <c r="Y709" s="16"/>
    </row>
    <row r="710" spans="1:25" s="42" customFormat="1" ht="15">
      <c r="A710" s="740"/>
      <c r="B710" s="446" t="s">
        <v>5332</v>
      </c>
      <c r="C710" s="164"/>
      <c r="D710" s="444"/>
      <c r="E710" s="647"/>
      <c r="H710" s="283"/>
      <c r="I710" s="283"/>
      <c r="K710" s="791">
        <v>1000</v>
      </c>
      <c r="L710" s="283"/>
      <c r="M710" s="283">
        <f t="shared" si="99"/>
        <v>1000</v>
      </c>
      <c r="N710" s="283"/>
      <c r="O710" s="815"/>
      <c r="P710" s="164"/>
      <c r="Q710" s="351">
        <v>1000</v>
      </c>
      <c r="R710" s="90">
        <v>1000</v>
      </c>
      <c r="S710" s="1327" t="s">
        <v>5394</v>
      </c>
      <c r="T710" s="1327"/>
      <c r="U710" s="1327"/>
      <c r="X710" s="16"/>
      <c r="Y710" s="16"/>
    </row>
    <row r="711" spans="1:25" s="42" customFormat="1" ht="15">
      <c r="A711" s="740"/>
      <c r="B711" s="446" t="s">
        <v>5333</v>
      </c>
      <c r="C711" s="164"/>
      <c r="D711" s="444"/>
      <c r="E711" s="647"/>
      <c r="H711" s="283"/>
      <c r="I711" s="283"/>
      <c r="K711" s="791">
        <v>1000</v>
      </c>
      <c r="L711" s="283"/>
      <c r="M711" s="283">
        <f t="shared" ref="M711:M742" si="100">SUM(K711:L711)</f>
        <v>1000</v>
      </c>
      <c r="N711" s="283"/>
      <c r="O711" s="815"/>
      <c r="P711" s="164"/>
      <c r="Q711" s="351">
        <v>1000</v>
      </c>
      <c r="R711" s="90">
        <v>1000</v>
      </c>
      <c r="S711" s="1327" t="s">
        <v>5394</v>
      </c>
      <c r="T711" s="1327"/>
      <c r="U711" s="1327"/>
      <c r="X711" s="16"/>
      <c r="Y711" s="16"/>
    </row>
    <row r="712" spans="1:25" s="42" customFormat="1" ht="15">
      <c r="A712" s="740"/>
      <c r="B712" s="446" t="s">
        <v>5334</v>
      </c>
      <c r="C712" s="164"/>
      <c r="D712" s="444"/>
      <c r="E712" s="647"/>
      <c r="H712" s="283"/>
      <c r="I712" s="283"/>
      <c r="K712" s="791">
        <v>1000</v>
      </c>
      <c r="L712" s="283"/>
      <c r="M712" s="283">
        <f t="shared" si="100"/>
        <v>1000</v>
      </c>
      <c r="N712" s="283"/>
      <c r="O712" s="815"/>
      <c r="P712" s="164"/>
      <c r="Q712" s="351">
        <v>1000</v>
      </c>
      <c r="R712" s="90">
        <v>1000</v>
      </c>
      <c r="S712" s="1327" t="s">
        <v>5394</v>
      </c>
      <c r="T712" s="1327"/>
      <c r="U712" s="1327"/>
      <c r="X712" s="16"/>
      <c r="Y712" s="16"/>
    </row>
    <row r="713" spans="1:25" s="42" customFormat="1" ht="15">
      <c r="A713" s="740"/>
      <c r="B713" s="446" t="s">
        <v>5335</v>
      </c>
      <c r="C713" s="164"/>
      <c r="D713" s="444"/>
      <c r="E713" s="647"/>
      <c r="H713" s="283"/>
      <c r="I713" s="283"/>
      <c r="K713" s="791">
        <v>2000</v>
      </c>
      <c r="L713" s="283"/>
      <c r="M713" s="283">
        <f t="shared" si="100"/>
        <v>2000</v>
      </c>
      <c r="N713" s="283"/>
      <c r="O713" s="815"/>
      <c r="P713" s="164"/>
      <c r="Q713" s="351">
        <v>2000</v>
      </c>
      <c r="R713" s="90">
        <v>2000</v>
      </c>
      <c r="S713" s="1327" t="s">
        <v>5394</v>
      </c>
      <c r="T713" s="1327"/>
      <c r="U713" s="1327"/>
      <c r="X713" s="16"/>
      <c r="Y713" s="16"/>
    </row>
    <row r="714" spans="1:25" s="42" customFormat="1" ht="15">
      <c r="A714" s="740"/>
      <c r="B714" s="446" t="s">
        <v>5336</v>
      </c>
      <c r="C714" s="164"/>
      <c r="D714" s="444"/>
      <c r="E714" s="647"/>
      <c r="H714" s="283"/>
      <c r="I714" s="283"/>
      <c r="K714" s="791">
        <v>20000</v>
      </c>
      <c r="L714" s="283"/>
      <c r="M714" s="283">
        <f t="shared" si="100"/>
        <v>20000</v>
      </c>
      <c r="N714" s="283"/>
      <c r="O714" s="815"/>
      <c r="P714" s="164"/>
      <c r="Q714" s="351">
        <v>20000</v>
      </c>
      <c r="R714" s="90">
        <v>20000</v>
      </c>
      <c r="S714" s="1327" t="s">
        <v>5394</v>
      </c>
      <c r="T714" s="1327"/>
      <c r="U714" s="1327"/>
      <c r="X714" s="16"/>
      <c r="Y714" s="16"/>
    </row>
    <row r="715" spans="1:25" s="42" customFormat="1" ht="36.75" customHeight="1">
      <c r="A715" s="740"/>
      <c r="B715" s="101" t="s">
        <v>5337</v>
      </c>
      <c r="C715" s="164"/>
      <c r="D715" s="444"/>
      <c r="E715" s="647"/>
      <c r="H715" s="283"/>
      <c r="I715" s="283"/>
      <c r="K715" s="791">
        <v>20000</v>
      </c>
      <c r="L715" s="283"/>
      <c r="M715" s="21">
        <f t="shared" si="100"/>
        <v>20000</v>
      </c>
      <c r="N715" s="21"/>
      <c r="O715" s="58"/>
      <c r="P715" s="108"/>
      <c r="Q715" s="93">
        <v>20000</v>
      </c>
      <c r="R715" s="67">
        <v>20000</v>
      </c>
      <c r="S715" s="1338" t="s">
        <v>6145</v>
      </c>
      <c r="T715" s="1338"/>
      <c r="U715" s="1338"/>
      <c r="X715" s="16"/>
      <c r="Y715" s="16"/>
    </row>
    <row r="716" spans="1:25" s="42" customFormat="1" ht="15">
      <c r="A716" s="740"/>
      <c r="B716" s="446" t="s">
        <v>5135</v>
      </c>
      <c r="C716" s="164"/>
      <c r="D716" s="444"/>
      <c r="E716" s="647"/>
      <c r="H716" s="283"/>
      <c r="I716" s="283"/>
      <c r="K716" s="791">
        <v>30000</v>
      </c>
      <c r="L716" s="283"/>
      <c r="M716" s="283">
        <f t="shared" si="100"/>
        <v>30000</v>
      </c>
      <c r="N716" s="283"/>
      <c r="O716" s="815"/>
      <c r="P716" s="164"/>
      <c r="Q716" s="351">
        <v>30000</v>
      </c>
      <c r="R716" s="90">
        <v>29842</v>
      </c>
      <c r="S716" s="1327" t="s">
        <v>5394</v>
      </c>
      <c r="T716" s="1327"/>
      <c r="U716" s="1327"/>
      <c r="X716" s="16"/>
      <c r="Y716" s="16"/>
    </row>
    <row r="717" spans="1:25" s="42" customFormat="1" ht="15">
      <c r="A717" s="740"/>
      <c r="B717" s="446" t="s">
        <v>5338</v>
      </c>
      <c r="C717" s="164"/>
      <c r="D717" s="444"/>
      <c r="E717" s="647"/>
      <c r="H717" s="283"/>
      <c r="I717" s="283"/>
      <c r="K717" s="791">
        <v>1000</v>
      </c>
      <c r="L717" s="283"/>
      <c r="M717" s="283">
        <f t="shared" si="100"/>
        <v>1000</v>
      </c>
      <c r="N717" s="283"/>
      <c r="O717" s="815"/>
      <c r="P717" s="164"/>
      <c r="Q717" s="351">
        <v>1000</v>
      </c>
      <c r="R717" s="90">
        <v>1000</v>
      </c>
      <c r="S717" s="1327" t="s">
        <v>5394</v>
      </c>
      <c r="T717" s="1327"/>
      <c r="U717" s="1327"/>
      <c r="X717" s="16"/>
      <c r="Y717" s="16"/>
    </row>
    <row r="718" spans="1:25" s="42" customFormat="1" ht="15">
      <c r="A718" s="740"/>
      <c r="B718" s="446" t="s">
        <v>5339</v>
      </c>
      <c r="C718" s="164"/>
      <c r="D718" s="444"/>
      <c r="E718" s="647"/>
      <c r="H718" s="283"/>
      <c r="I718" s="283"/>
      <c r="K718" s="791">
        <v>1000</v>
      </c>
      <c r="L718" s="283"/>
      <c r="M718" s="283">
        <f t="shared" si="100"/>
        <v>1000</v>
      </c>
      <c r="N718" s="283"/>
      <c r="O718" s="815"/>
      <c r="P718" s="164"/>
      <c r="Q718" s="351">
        <v>1000</v>
      </c>
      <c r="R718" s="90">
        <v>1000</v>
      </c>
      <c r="S718" s="1327" t="s">
        <v>5394</v>
      </c>
      <c r="T718" s="1327"/>
      <c r="U718" s="1327"/>
      <c r="X718" s="16"/>
      <c r="Y718" s="16"/>
    </row>
    <row r="719" spans="1:25" s="42" customFormat="1" ht="15">
      <c r="A719" s="740"/>
      <c r="B719" s="446" t="s">
        <v>5340</v>
      </c>
      <c r="C719" s="164"/>
      <c r="D719" s="444"/>
      <c r="E719" s="647"/>
      <c r="H719" s="283"/>
      <c r="I719" s="283"/>
      <c r="K719" s="791">
        <v>1000</v>
      </c>
      <c r="L719" s="283"/>
      <c r="M719" s="283">
        <f t="shared" si="100"/>
        <v>1000</v>
      </c>
      <c r="N719" s="283"/>
      <c r="O719" s="815"/>
      <c r="P719" s="164"/>
      <c r="Q719" s="351">
        <v>1000</v>
      </c>
      <c r="R719" s="90">
        <v>1000</v>
      </c>
      <c r="S719" s="1327" t="s">
        <v>5394</v>
      </c>
      <c r="T719" s="1327"/>
      <c r="U719" s="1327"/>
      <c r="X719" s="16"/>
      <c r="Y719" s="16"/>
    </row>
    <row r="720" spans="1:25" s="42" customFormat="1" ht="15">
      <c r="A720" s="740"/>
      <c r="B720" s="446" t="s">
        <v>5341</v>
      </c>
      <c r="C720" s="164"/>
      <c r="D720" s="444"/>
      <c r="E720" s="647"/>
      <c r="H720" s="283"/>
      <c r="I720" s="283"/>
      <c r="K720" s="791">
        <v>1000</v>
      </c>
      <c r="L720" s="283"/>
      <c r="M720" s="283">
        <f t="shared" si="100"/>
        <v>1000</v>
      </c>
      <c r="N720" s="283"/>
      <c r="O720" s="815"/>
      <c r="P720" s="164"/>
      <c r="Q720" s="351">
        <v>1000</v>
      </c>
      <c r="R720" s="90">
        <v>1000</v>
      </c>
      <c r="S720" s="1327" t="s">
        <v>5394</v>
      </c>
      <c r="T720" s="1327"/>
      <c r="U720" s="1327"/>
      <c r="X720" s="16"/>
      <c r="Y720" s="16"/>
    </row>
    <row r="721" spans="1:25" s="42" customFormat="1" ht="15">
      <c r="A721" s="740"/>
      <c r="B721" s="446" t="s">
        <v>5342</v>
      </c>
      <c r="C721" s="164"/>
      <c r="D721" s="444"/>
      <c r="E721" s="647"/>
      <c r="H721" s="283"/>
      <c r="I721" s="283"/>
      <c r="K721" s="791">
        <v>900</v>
      </c>
      <c r="L721" s="283"/>
      <c r="M721" s="283">
        <f t="shared" si="100"/>
        <v>900</v>
      </c>
      <c r="N721" s="283"/>
      <c r="O721" s="815"/>
      <c r="P721" s="164"/>
      <c r="Q721" s="351">
        <v>900</v>
      </c>
      <c r="R721" s="90">
        <v>900</v>
      </c>
      <c r="S721" s="1327" t="s">
        <v>5394</v>
      </c>
      <c r="T721" s="1327"/>
      <c r="U721" s="1327"/>
      <c r="X721" s="16"/>
      <c r="Y721" s="16"/>
    </row>
    <row r="722" spans="1:25" s="42" customFormat="1" ht="15">
      <c r="A722" s="740"/>
      <c r="B722" s="446" t="s">
        <v>5343</v>
      </c>
      <c r="C722" s="164"/>
      <c r="D722" s="444"/>
      <c r="E722" s="647"/>
      <c r="H722" s="283"/>
      <c r="I722" s="283"/>
      <c r="K722" s="791">
        <v>800</v>
      </c>
      <c r="L722" s="283"/>
      <c r="M722" s="283">
        <f t="shared" si="100"/>
        <v>800</v>
      </c>
      <c r="N722" s="283"/>
      <c r="O722" s="815"/>
      <c r="P722" s="164"/>
      <c r="Q722" s="351">
        <v>800</v>
      </c>
      <c r="R722" s="90">
        <v>800</v>
      </c>
      <c r="S722" s="1327" t="s">
        <v>5394</v>
      </c>
      <c r="T722" s="1327"/>
      <c r="U722" s="1327"/>
      <c r="X722" s="16"/>
      <c r="Y722" s="16"/>
    </row>
    <row r="723" spans="1:25" s="42" customFormat="1" ht="15">
      <c r="A723" s="740"/>
      <c r="B723" s="446" t="s">
        <v>5344</v>
      </c>
      <c r="C723" s="164"/>
      <c r="D723" s="444"/>
      <c r="E723" s="647"/>
      <c r="H723" s="283"/>
      <c r="I723" s="283"/>
      <c r="K723" s="791">
        <v>1000</v>
      </c>
      <c r="L723" s="283"/>
      <c r="M723" s="283">
        <f t="shared" si="100"/>
        <v>1000</v>
      </c>
      <c r="N723" s="283"/>
      <c r="O723" s="815"/>
      <c r="P723" s="164"/>
      <c r="Q723" s="351">
        <v>1000</v>
      </c>
      <c r="R723" s="90">
        <v>1000</v>
      </c>
      <c r="S723" s="1327" t="s">
        <v>5394</v>
      </c>
      <c r="T723" s="1327"/>
      <c r="U723" s="1327"/>
      <c r="X723" s="16"/>
      <c r="Y723" s="16"/>
    </row>
    <row r="724" spans="1:25" s="42" customFormat="1" ht="15">
      <c r="A724" s="740"/>
      <c r="B724" s="446" t="s">
        <v>5345</v>
      </c>
      <c r="C724" s="164"/>
      <c r="D724" s="444"/>
      <c r="E724" s="647"/>
      <c r="H724" s="283"/>
      <c r="I724" s="283"/>
      <c r="K724" s="791">
        <v>1000</v>
      </c>
      <c r="L724" s="283"/>
      <c r="M724" s="283">
        <f t="shared" si="100"/>
        <v>1000</v>
      </c>
      <c r="N724" s="283"/>
      <c r="O724" s="815"/>
      <c r="P724" s="164"/>
      <c r="Q724" s="351">
        <v>1000</v>
      </c>
      <c r="R724" s="90">
        <v>1000</v>
      </c>
      <c r="S724" s="1327" t="s">
        <v>5394</v>
      </c>
      <c r="T724" s="1327"/>
      <c r="U724" s="1327"/>
      <c r="X724" s="16"/>
      <c r="Y724" s="16"/>
    </row>
    <row r="725" spans="1:25" s="42" customFormat="1" ht="15">
      <c r="A725" s="740"/>
      <c r="B725" s="446" t="s">
        <v>5346</v>
      </c>
      <c r="C725" s="164"/>
      <c r="D725" s="444"/>
      <c r="E725" s="647"/>
      <c r="H725" s="283"/>
      <c r="I725" s="283"/>
      <c r="K725" s="791">
        <v>1000</v>
      </c>
      <c r="L725" s="283"/>
      <c r="M725" s="283">
        <f t="shared" si="100"/>
        <v>1000</v>
      </c>
      <c r="N725" s="283"/>
      <c r="O725" s="815"/>
      <c r="P725" s="164"/>
      <c r="Q725" s="351">
        <v>1000</v>
      </c>
      <c r="R725" s="90">
        <v>990</v>
      </c>
      <c r="S725" s="1327" t="s">
        <v>5394</v>
      </c>
      <c r="T725" s="1327"/>
      <c r="U725" s="1327"/>
      <c r="X725" s="16"/>
      <c r="Y725" s="16"/>
    </row>
    <row r="726" spans="1:25" s="42" customFormat="1" ht="15">
      <c r="A726" s="740"/>
      <c r="B726" s="446" t="s">
        <v>5347</v>
      </c>
      <c r="C726" s="164"/>
      <c r="D726" s="444"/>
      <c r="E726" s="647"/>
      <c r="H726" s="283"/>
      <c r="I726" s="283"/>
      <c r="K726" s="791">
        <v>800</v>
      </c>
      <c r="L726" s="283"/>
      <c r="M726" s="283">
        <f t="shared" si="100"/>
        <v>800</v>
      </c>
      <c r="N726" s="283"/>
      <c r="O726" s="815"/>
      <c r="P726" s="164"/>
      <c r="Q726" s="351">
        <v>800</v>
      </c>
      <c r="R726" s="90">
        <v>800</v>
      </c>
      <c r="S726" s="1327" t="s">
        <v>5394</v>
      </c>
      <c r="T726" s="1327"/>
      <c r="U726" s="1327"/>
      <c r="X726" s="16"/>
      <c r="Y726" s="16"/>
    </row>
    <row r="727" spans="1:25" s="42" customFormat="1" ht="15">
      <c r="A727" s="740"/>
      <c r="B727" s="446" t="s">
        <v>5348</v>
      </c>
      <c r="C727" s="164"/>
      <c r="D727" s="444"/>
      <c r="E727" s="647"/>
      <c r="H727" s="283"/>
      <c r="I727" s="283"/>
      <c r="K727" s="791">
        <v>500</v>
      </c>
      <c r="L727" s="283"/>
      <c r="M727" s="283">
        <f t="shared" si="100"/>
        <v>500</v>
      </c>
      <c r="N727" s="283"/>
      <c r="O727" s="815"/>
      <c r="P727" s="164"/>
      <c r="Q727" s="351">
        <v>500</v>
      </c>
      <c r="R727" s="90">
        <v>500</v>
      </c>
      <c r="S727" s="1327" t="s">
        <v>5394</v>
      </c>
      <c r="T727" s="1327"/>
      <c r="U727" s="1327"/>
      <c r="X727" s="16"/>
      <c r="Y727" s="16"/>
    </row>
    <row r="728" spans="1:25" s="42" customFormat="1" ht="15">
      <c r="A728" s="740"/>
      <c r="B728" s="446" t="s">
        <v>5349</v>
      </c>
      <c r="C728" s="164"/>
      <c r="D728" s="444"/>
      <c r="E728" s="647"/>
      <c r="H728" s="283"/>
      <c r="I728" s="283"/>
      <c r="K728" s="791">
        <v>700</v>
      </c>
      <c r="L728" s="283"/>
      <c r="M728" s="283">
        <f t="shared" si="100"/>
        <v>700</v>
      </c>
      <c r="N728" s="283"/>
      <c r="O728" s="815"/>
      <c r="P728" s="164"/>
      <c r="Q728" s="351">
        <v>700</v>
      </c>
      <c r="R728" s="90">
        <v>700</v>
      </c>
      <c r="S728" s="1327" t="s">
        <v>5394</v>
      </c>
      <c r="T728" s="1327"/>
      <c r="U728" s="1327"/>
      <c r="X728" s="16"/>
      <c r="Y728" s="16"/>
    </row>
    <row r="729" spans="1:25" s="42" customFormat="1" ht="15">
      <c r="A729" s="740"/>
      <c r="B729" s="446" t="s">
        <v>5350</v>
      </c>
      <c r="C729" s="164"/>
      <c r="D729" s="444"/>
      <c r="E729" s="647"/>
      <c r="H729" s="283"/>
      <c r="I729" s="283"/>
      <c r="K729" s="791">
        <v>1000</v>
      </c>
      <c r="L729" s="283"/>
      <c r="M729" s="283">
        <f t="shared" si="100"/>
        <v>1000</v>
      </c>
      <c r="N729" s="283"/>
      <c r="O729" s="815"/>
      <c r="P729" s="164"/>
      <c r="Q729" s="351">
        <v>1000</v>
      </c>
      <c r="R729" s="90">
        <v>1000</v>
      </c>
      <c r="S729" s="1327" t="s">
        <v>5394</v>
      </c>
      <c r="T729" s="1327"/>
      <c r="U729" s="1327"/>
      <c r="X729" s="16"/>
      <c r="Y729" s="16"/>
    </row>
    <row r="730" spans="1:25" s="42" customFormat="1" ht="15">
      <c r="A730" s="740"/>
      <c r="B730" s="446" t="s">
        <v>5351</v>
      </c>
      <c r="C730" s="164"/>
      <c r="D730" s="444"/>
      <c r="E730" s="647"/>
      <c r="H730" s="283"/>
      <c r="I730" s="283"/>
      <c r="K730" s="791">
        <v>1000</v>
      </c>
      <c r="L730" s="283"/>
      <c r="M730" s="283">
        <f t="shared" si="100"/>
        <v>1000</v>
      </c>
      <c r="N730" s="283"/>
      <c r="O730" s="815"/>
      <c r="P730" s="164"/>
      <c r="Q730" s="351">
        <v>1000</v>
      </c>
      <c r="R730" s="90">
        <v>1000</v>
      </c>
      <c r="S730" s="1327" t="s">
        <v>5394</v>
      </c>
      <c r="T730" s="1327"/>
      <c r="U730" s="1327"/>
      <c r="X730" s="16"/>
      <c r="Y730" s="16"/>
    </row>
    <row r="731" spans="1:25" s="42" customFormat="1" ht="15">
      <c r="A731" s="740"/>
      <c r="B731" s="446" t="s">
        <v>5352</v>
      </c>
      <c r="C731" s="164"/>
      <c r="D731" s="444"/>
      <c r="E731" s="647"/>
      <c r="H731" s="283"/>
      <c r="I731" s="283"/>
      <c r="K731" s="791">
        <v>1000</v>
      </c>
      <c r="L731" s="283"/>
      <c r="M731" s="283">
        <f t="shared" si="100"/>
        <v>1000</v>
      </c>
      <c r="N731" s="283"/>
      <c r="O731" s="815"/>
      <c r="P731" s="164"/>
      <c r="Q731" s="351">
        <v>1000</v>
      </c>
      <c r="R731" s="90">
        <v>1000</v>
      </c>
      <c r="S731" s="1327" t="s">
        <v>5394</v>
      </c>
      <c r="T731" s="1327"/>
      <c r="U731" s="1327"/>
      <c r="X731" s="16"/>
      <c r="Y731" s="16"/>
    </row>
    <row r="732" spans="1:25" s="42" customFormat="1" ht="15">
      <c r="A732" s="740"/>
      <c r="B732" s="446" t="s">
        <v>5353</v>
      </c>
      <c r="C732" s="164"/>
      <c r="D732" s="444"/>
      <c r="E732" s="647"/>
      <c r="H732" s="283"/>
      <c r="I732" s="283"/>
      <c r="K732" s="791">
        <v>1000</v>
      </c>
      <c r="L732" s="283"/>
      <c r="M732" s="283">
        <f t="shared" si="100"/>
        <v>1000</v>
      </c>
      <c r="N732" s="283"/>
      <c r="O732" s="815"/>
      <c r="P732" s="164"/>
      <c r="Q732" s="351">
        <v>1000</v>
      </c>
      <c r="R732" s="90">
        <v>1000</v>
      </c>
      <c r="S732" s="1327" t="s">
        <v>5394</v>
      </c>
      <c r="T732" s="1327"/>
      <c r="U732" s="1327"/>
      <c r="X732" s="16"/>
      <c r="Y732" s="16"/>
    </row>
    <row r="733" spans="1:25" s="42" customFormat="1" ht="15">
      <c r="A733" s="740"/>
      <c r="B733" s="446" t="s">
        <v>5354</v>
      </c>
      <c r="C733" s="164"/>
      <c r="D733" s="444"/>
      <c r="E733" s="647"/>
      <c r="H733" s="283"/>
      <c r="I733" s="283"/>
      <c r="K733" s="791">
        <v>1000</v>
      </c>
      <c r="L733" s="283"/>
      <c r="M733" s="283">
        <f t="shared" si="100"/>
        <v>1000</v>
      </c>
      <c r="N733" s="283"/>
      <c r="O733" s="815"/>
      <c r="P733" s="164"/>
      <c r="Q733" s="351">
        <v>1000</v>
      </c>
      <c r="R733" s="90">
        <v>1000</v>
      </c>
      <c r="S733" s="1327" t="s">
        <v>5394</v>
      </c>
      <c r="T733" s="1327"/>
      <c r="U733" s="1327"/>
      <c r="X733" s="16"/>
      <c r="Y733" s="16"/>
    </row>
    <row r="734" spans="1:25" s="42" customFormat="1" ht="15">
      <c r="A734" s="740"/>
      <c r="B734" s="446" t="s">
        <v>5355</v>
      </c>
      <c r="C734" s="164"/>
      <c r="D734" s="444"/>
      <c r="E734" s="647"/>
      <c r="H734" s="283"/>
      <c r="I734" s="283"/>
      <c r="K734" s="791">
        <v>600</v>
      </c>
      <c r="L734" s="283"/>
      <c r="M734" s="283">
        <f t="shared" si="100"/>
        <v>600</v>
      </c>
      <c r="N734" s="283"/>
      <c r="O734" s="815"/>
      <c r="P734" s="164"/>
      <c r="Q734" s="351">
        <v>600</v>
      </c>
      <c r="R734" s="90">
        <v>598</v>
      </c>
      <c r="S734" s="1327" t="s">
        <v>5394</v>
      </c>
      <c r="T734" s="1327"/>
      <c r="U734" s="1327"/>
      <c r="X734" s="16"/>
      <c r="Y734" s="16"/>
    </row>
    <row r="735" spans="1:25" s="42" customFormat="1" ht="15">
      <c r="A735" s="740"/>
      <c r="B735" s="446" t="s">
        <v>5356</v>
      </c>
      <c r="C735" s="164"/>
      <c r="D735" s="444"/>
      <c r="E735" s="647"/>
      <c r="H735" s="283"/>
      <c r="I735" s="283"/>
      <c r="K735" s="791">
        <v>800</v>
      </c>
      <c r="L735" s="283"/>
      <c r="M735" s="283">
        <f t="shared" si="100"/>
        <v>800</v>
      </c>
      <c r="N735" s="283"/>
      <c r="O735" s="815"/>
      <c r="P735" s="164"/>
      <c r="Q735" s="351">
        <v>800</v>
      </c>
      <c r="R735" s="90">
        <v>800</v>
      </c>
      <c r="S735" s="1327" t="s">
        <v>5394</v>
      </c>
      <c r="T735" s="1327"/>
      <c r="U735" s="1327"/>
      <c r="X735" s="16"/>
      <c r="Y735" s="16"/>
    </row>
    <row r="736" spans="1:25" s="42" customFormat="1" ht="15">
      <c r="A736" s="740"/>
      <c r="B736" s="446" t="s">
        <v>5357</v>
      </c>
      <c r="C736" s="164"/>
      <c r="D736" s="444"/>
      <c r="E736" s="647"/>
      <c r="H736" s="283"/>
      <c r="I736" s="283"/>
      <c r="K736" s="791">
        <v>30000</v>
      </c>
      <c r="L736" s="283"/>
      <c r="M736" s="283">
        <f t="shared" si="100"/>
        <v>30000</v>
      </c>
      <c r="N736" s="283"/>
      <c r="O736" s="815"/>
      <c r="P736" s="164"/>
      <c r="Q736" s="351">
        <v>30000</v>
      </c>
      <c r="R736" s="90">
        <v>30000</v>
      </c>
      <c r="S736" s="1327" t="s">
        <v>5394</v>
      </c>
      <c r="T736" s="1327"/>
      <c r="U736" s="1327"/>
      <c r="X736" s="16"/>
      <c r="Y736" s="16"/>
    </row>
    <row r="737" spans="1:25" s="42" customFormat="1" ht="15">
      <c r="A737" s="740"/>
      <c r="B737" s="446" t="s">
        <v>5358</v>
      </c>
      <c r="C737" s="164"/>
      <c r="D737" s="444"/>
      <c r="E737" s="647"/>
      <c r="H737" s="283"/>
      <c r="I737" s="283"/>
      <c r="K737" s="791">
        <v>20000</v>
      </c>
      <c r="L737" s="283"/>
      <c r="M737" s="283">
        <f t="shared" si="100"/>
        <v>20000</v>
      </c>
      <c r="N737" s="283"/>
      <c r="O737" s="815"/>
      <c r="P737" s="164"/>
      <c r="Q737" s="351">
        <v>20000</v>
      </c>
      <c r="R737" s="90">
        <v>20000</v>
      </c>
      <c r="S737" s="1327" t="s">
        <v>5394</v>
      </c>
      <c r="T737" s="1327"/>
      <c r="U737" s="1327"/>
      <c r="X737" s="16"/>
      <c r="Y737" s="16"/>
    </row>
    <row r="738" spans="1:25" s="42" customFormat="1" ht="15">
      <c r="A738" s="740"/>
      <c r="B738" s="446" t="s">
        <v>5122</v>
      </c>
      <c r="C738" s="164"/>
      <c r="D738" s="444"/>
      <c r="E738" s="647"/>
      <c r="H738" s="283"/>
      <c r="I738" s="283"/>
      <c r="K738" s="791">
        <v>15000</v>
      </c>
      <c r="L738" s="283"/>
      <c r="M738" s="283">
        <f t="shared" si="100"/>
        <v>15000</v>
      </c>
      <c r="N738" s="283"/>
      <c r="O738" s="815"/>
      <c r="P738" s="164"/>
      <c r="Q738" s="351">
        <v>15000</v>
      </c>
      <c r="R738" s="90">
        <v>15000</v>
      </c>
      <c r="S738" s="1327" t="s">
        <v>5394</v>
      </c>
      <c r="T738" s="1327"/>
      <c r="U738" s="1327"/>
      <c r="X738" s="16"/>
      <c r="Y738" s="16"/>
    </row>
    <row r="739" spans="1:25" s="42" customFormat="1" ht="15">
      <c r="A739" s="740"/>
      <c r="B739" s="446" t="s">
        <v>5130</v>
      </c>
      <c r="C739" s="164"/>
      <c r="D739" s="444"/>
      <c r="E739" s="647"/>
      <c r="H739" s="283"/>
      <c r="I739" s="283"/>
      <c r="K739" s="791">
        <v>20000</v>
      </c>
      <c r="L739" s="283"/>
      <c r="M739" s="283">
        <f t="shared" si="100"/>
        <v>20000</v>
      </c>
      <c r="N739" s="283"/>
      <c r="O739" s="815"/>
      <c r="P739" s="164"/>
      <c r="Q739" s="351">
        <v>20000</v>
      </c>
      <c r="R739" s="90">
        <v>20000</v>
      </c>
      <c r="S739" s="1327" t="s">
        <v>5394</v>
      </c>
      <c r="T739" s="1327"/>
      <c r="U739" s="1327"/>
      <c r="X739" s="16"/>
      <c r="Y739" s="16"/>
    </row>
    <row r="740" spans="1:25" s="42" customFormat="1" ht="33" customHeight="1">
      <c r="A740" s="740"/>
      <c r="B740" s="101" t="s">
        <v>5359</v>
      </c>
      <c r="C740" s="164"/>
      <c r="D740" s="444"/>
      <c r="E740" s="647"/>
      <c r="H740" s="283"/>
      <c r="I740" s="283"/>
      <c r="K740" s="793">
        <v>25000</v>
      </c>
      <c r="L740" s="283"/>
      <c r="M740" s="21">
        <f t="shared" si="100"/>
        <v>25000</v>
      </c>
      <c r="N740" s="283"/>
      <c r="O740" s="815"/>
      <c r="P740" s="164"/>
      <c r="Q740" s="93">
        <v>25000</v>
      </c>
      <c r="R740" s="67">
        <v>7020</v>
      </c>
      <c r="S740" s="1338" t="s">
        <v>5395</v>
      </c>
      <c r="T740" s="1338"/>
      <c r="U740" s="1338"/>
      <c r="X740" s="16"/>
      <c r="Y740" s="16"/>
    </row>
    <row r="741" spans="1:25" s="42" customFormat="1" ht="15">
      <c r="A741" s="740"/>
      <c r="B741" s="446" t="s">
        <v>5360</v>
      </c>
      <c r="C741" s="164"/>
      <c r="D741" s="444"/>
      <c r="E741" s="647"/>
      <c r="H741" s="283"/>
      <c r="I741" s="283"/>
      <c r="K741" s="793">
        <v>1000</v>
      </c>
      <c r="L741" s="283"/>
      <c r="M741" s="283">
        <f t="shared" si="100"/>
        <v>1000</v>
      </c>
      <c r="N741" s="283"/>
      <c r="O741" s="815"/>
      <c r="P741" s="164"/>
      <c r="Q741" s="351">
        <v>1000</v>
      </c>
      <c r="R741" s="90">
        <v>990</v>
      </c>
      <c r="S741" s="1327" t="s">
        <v>5394</v>
      </c>
      <c r="T741" s="1327"/>
      <c r="U741" s="1327"/>
      <c r="X741" s="16"/>
      <c r="Y741" s="16"/>
    </row>
    <row r="742" spans="1:25" s="42" customFormat="1" ht="15">
      <c r="A742" s="740"/>
      <c r="B742" s="446" t="s">
        <v>5361</v>
      </c>
      <c r="C742" s="164"/>
      <c r="D742" s="444"/>
      <c r="E742" s="647"/>
      <c r="H742" s="283"/>
      <c r="I742" s="283"/>
      <c r="K742" s="791">
        <v>1000</v>
      </c>
      <c r="L742" s="283"/>
      <c r="M742" s="283">
        <f t="shared" si="100"/>
        <v>1000</v>
      </c>
      <c r="N742" s="283"/>
      <c r="O742" s="815"/>
      <c r="P742" s="164"/>
      <c r="Q742" s="351">
        <v>1000</v>
      </c>
      <c r="R742" s="90">
        <v>1000</v>
      </c>
      <c r="S742" s="1327" t="s">
        <v>5394</v>
      </c>
      <c r="T742" s="1327"/>
      <c r="U742" s="1327"/>
      <c r="X742" s="16"/>
      <c r="Y742" s="16"/>
    </row>
    <row r="743" spans="1:25" s="42" customFormat="1" ht="15">
      <c r="A743" s="740"/>
      <c r="B743" s="446" t="s">
        <v>5362</v>
      </c>
      <c r="C743" s="164"/>
      <c r="D743" s="444"/>
      <c r="E743" s="647"/>
      <c r="H743" s="283"/>
      <c r="I743" s="283"/>
      <c r="K743" s="791">
        <v>1000</v>
      </c>
      <c r="L743" s="283"/>
      <c r="M743" s="283">
        <f t="shared" ref="M743:M774" si="101">SUM(K743:L743)</f>
        <v>1000</v>
      </c>
      <c r="N743" s="283"/>
      <c r="O743" s="815"/>
      <c r="P743" s="164"/>
      <c r="Q743" s="351">
        <v>1000</v>
      </c>
      <c r="R743" s="90">
        <v>1000</v>
      </c>
      <c r="S743" s="1327" t="s">
        <v>5394</v>
      </c>
      <c r="T743" s="1327"/>
      <c r="U743" s="1327"/>
      <c r="X743" s="16"/>
      <c r="Y743" s="16"/>
    </row>
    <row r="744" spans="1:25" s="42" customFormat="1" ht="35.25" customHeight="1">
      <c r="A744" s="740"/>
      <c r="B744" s="101" t="s">
        <v>5363</v>
      </c>
      <c r="C744" s="164"/>
      <c r="D744" s="444"/>
      <c r="E744" s="647"/>
      <c r="H744" s="283"/>
      <c r="I744" s="283"/>
      <c r="K744" s="791">
        <v>1000</v>
      </c>
      <c r="L744" s="283"/>
      <c r="M744" s="21">
        <f t="shared" si="101"/>
        <v>1000</v>
      </c>
      <c r="N744" s="283"/>
      <c r="O744" s="815"/>
      <c r="P744" s="164"/>
      <c r="Q744" s="93">
        <v>1000</v>
      </c>
      <c r="R744" s="67">
        <v>1000</v>
      </c>
      <c r="S744" s="1338" t="s">
        <v>5396</v>
      </c>
      <c r="T744" s="1338"/>
      <c r="U744" s="1338"/>
      <c r="X744" s="16"/>
      <c r="Y744" s="16"/>
    </row>
    <row r="745" spans="1:25" s="42" customFormat="1" ht="15">
      <c r="A745" s="740"/>
      <c r="B745" s="446" t="s">
        <v>5364</v>
      </c>
      <c r="C745" s="164"/>
      <c r="D745" s="444"/>
      <c r="E745" s="647"/>
      <c r="H745" s="283"/>
      <c r="I745" s="283"/>
      <c r="K745" s="791">
        <v>2000</v>
      </c>
      <c r="L745" s="283"/>
      <c r="M745" s="283">
        <f t="shared" si="101"/>
        <v>2000</v>
      </c>
      <c r="N745" s="283"/>
      <c r="O745" s="815"/>
      <c r="P745" s="164"/>
      <c r="Q745" s="351">
        <v>2000</v>
      </c>
      <c r="R745" s="90">
        <v>2000</v>
      </c>
      <c r="S745" s="1327" t="s">
        <v>5394</v>
      </c>
      <c r="T745" s="1327"/>
      <c r="U745" s="1327"/>
      <c r="X745" s="16"/>
      <c r="Y745" s="16"/>
    </row>
    <row r="746" spans="1:25" s="42" customFormat="1" ht="18" customHeight="1">
      <c r="A746" s="740"/>
      <c r="B746" s="101" t="s">
        <v>5365</v>
      </c>
      <c r="C746" s="164"/>
      <c r="D746" s="444"/>
      <c r="E746" s="647"/>
      <c r="H746" s="283"/>
      <c r="I746" s="283"/>
      <c r="K746" s="791">
        <v>2000</v>
      </c>
      <c r="L746" s="283"/>
      <c r="M746" s="21">
        <f t="shared" si="101"/>
        <v>2000</v>
      </c>
      <c r="N746" s="283"/>
      <c r="O746" s="815"/>
      <c r="P746" s="164"/>
      <c r="Q746" s="93">
        <v>2000</v>
      </c>
      <c r="R746" s="469">
        <v>2000</v>
      </c>
      <c r="S746" s="1338" t="s">
        <v>6172</v>
      </c>
      <c r="T746" s="1338"/>
      <c r="U746" s="1338"/>
      <c r="X746" s="16"/>
      <c r="Y746" s="16"/>
    </row>
    <row r="747" spans="1:25" s="42" customFormat="1" ht="15">
      <c r="A747" s="740"/>
      <c r="B747" s="446" t="s">
        <v>5366</v>
      </c>
      <c r="C747" s="164"/>
      <c r="D747" s="444"/>
      <c r="E747" s="647"/>
      <c r="H747" s="283"/>
      <c r="I747" s="283"/>
      <c r="K747" s="791">
        <v>1000</v>
      </c>
      <c r="L747" s="283"/>
      <c r="M747" s="283">
        <f t="shared" si="101"/>
        <v>1000</v>
      </c>
      <c r="N747" s="283"/>
      <c r="O747" s="815"/>
      <c r="P747" s="164"/>
      <c r="Q747" s="351">
        <v>1000</v>
      </c>
      <c r="R747" s="67">
        <v>1000</v>
      </c>
      <c r="S747" s="1327" t="s">
        <v>5394</v>
      </c>
      <c r="T747" s="1327"/>
      <c r="U747" s="1327"/>
      <c r="X747" s="16"/>
      <c r="Y747" s="16"/>
    </row>
    <row r="748" spans="1:25" s="42" customFormat="1" ht="20.25" customHeight="1">
      <c r="A748" s="740"/>
      <c r="B748" s="101" t="s">
        <v>5367</v>
      </c>
      <c r="C748" s="164"/>
      <c r="D748" s="444"/>
      <c r="E748" s="647"/>
      <c r="H748" s="283"/>
      <c r="I748" s="283"/>
      <c r="K748" s="791">
        <v>1000</v>
      </c>
      <c r="L748" s="283"/>
      <c r="M748" s="21">
        <f t="shared" si="101"/>
        <v>1000</v>
      </c>
      <c r="N748" s="283"/>
      <c r="O748" s="815"/>
      <c r="P748" s="164"/>
      <c r="Q748" s="93">
        <v>1000</v>
      </c>
      <c r="R748" s="67">
        <v>1000</v>
      </c>
      <c r="S748" s="1338" t="s">
        <v>5397</v>
      </c>
      <c r="T748" s="1338"/>
      <c r="U748" s="1338"/>
      <c r="X748" s="16"/>
      <c r="Y748" s="16"/>
    </row>
    <row r="749" spans="1:25" s="42" customFormat="1" ht="39" customHeight="1">
      <c r="A749" s="740"/>
      <c r="B749" s="101" t="s">
        <v>5368</v>
      </c>
      <c r="C749" s="164"/>
      <c r="D749" s="444"/>
      <c r="E749" s="647"/>
      <c r="H749" s="283"/>
      <c r="I749" s="283"/>
      <c r="K749" s="791">
        <v>2000</v>
      </c>
      <c r="L749" s="283"/>
      <c r="M749" s="21">
        <f t="shared" si="101"/>
        <v>2000</v>
      </c>
      <c r="N749" s="283"/>
      <c r="O749" s="815"/>
      <c r="P749" s="164"/>
      <c r="Q749" s="93">
        <v>2000</v>
      </c>
      <c r="R749" s="67">
        <v>2000</v>
      </c>
      <c r="S749" s="1338" t="s">
        <v>5398</v>
      </c>
      <c r="T749" s="1338"/>
      <c r="U749" s="1338"/>
      <c r="X749" s="16"/>
      <c r="Y749" s="16"/>
    </row>
    <row r="750" spans="1:25" s="42" customFormat="1" ht="15">
      <c r="A750" s="740"/>
      <c r="B750" s="446" t="s">
        <v>5369</v>
      </c>
      <c r="C750" s="164"/>
      <c r="D750" s="444"/>
      <c r="E750" s="647"/>
      <c r="H750" s="283"/>
      <c r="I750" s="283"/>
      <c r="K750" s="791">
        <v>800</v>
      </c>
      <c r="L750" s="283"/>
      <c r="M750" s="283">
        <f t="shared" si="101"/>
        <v>800</v>
      </c>
      <c r="N750" s="283"/>
      <c r="O750" s="815"/>
      <c r="P750" s="164"/>
      <c r="Q750" s="351">
        <v>800</v>
      </c>
      <c r="R750" s="90">
        <v>800</v>
      </c>
      <c r="S750" s="1327" t="s">
        <v>5394</v>
      </c>
      <c r="T750" s="1327"/>
      <c r="U750" s="1327"/>
      <c r="X750" s="16"/>
      <c r="Y750" s="16"/>
    </row>
    <row r="751" spans="1:25" s="42" customFormat="1" ht="15">
      <c r="A751" s="740"/>
      <c r="B751" s="446" t="s">
        <v>5370</v>
      </c>
      <c r="C751" s="164"/>
      <c r="D751" s="444"/>
      <c r="E751" s="647"/>
      <c r="H751" s="283"/>
      <c r="I751" s="283"/>
      <c r="K751" s="791">
        <v>1000</v>
      </c>
      <c r="L751" s="283"/>
      <c r="M751" s="283">
        <f t="shared" si="101"/>
        <v>1000</v>
      </c>
      <c r="N751" s="283"/>
      <c r="O751" s="815"/>
      <c r="P751" s="164"/>
      <c r="Q751" s="351">
        <v>1000</v>
      </c>
      <c r="R751" s="90">
        <v>1000</v>
      </c>
      <c r="S751" s="1327" t="s">
        <v>5394</v>
      </c>
      <c r="T751" s="1327"/>
      <c r="U751" s="1327"/>
      <c r="X751" s="16"/>
      <c r="Y751" s="16"/>
    </row>
    <row r="752" spans="1:25" s="42" customFormat="1" ht="18.75" customHeight="1">
      <c r="A752" s="740"/>
      <c r="B752" s="101" t="s">
        <v>5307</v>
      </c>
      <c r="C752" s="164"/>
      <c r="D752" s="444"/>
      <c r="E752" s="647"/>
      <c r="H752" s="283"/>
      <c r="I752" s="283"/>
      <c r="K752" s="791">
        <v>900</v>
      </c>
      <c r="L752" s="283"/>
      <c r="M752" s="21">
        <f t="shared" si="101"/>
        <v>900</v>
      </c>
      <c r="N752" s="283"/>
      <c r="O752" s="815"/>
      <c r="P752" s="164"/>
      <c r="Q752" s="93">
        <v>900</v>
      </c>
      <c r="R752" s="67">
        <v>900</v>
      </c>
      <c r="S752" s="1329" t="s">
        <v>5399</v>
      </c>
      <c r="T752" s="1329"/>
      <c r="U752" s="1329"/>
      <c r="X752" s="16"/>
      <c r="Y752" s="16"/>
    </row>
    <row r="753" spans="1:25" s="42" customFormat="1" ht="15">
      <c r="A753" s="740"/>
      <c r="B753" s="446" t="s">
        <v>5371</v>
      </c>
      <c r="C753" s="164"/>
      <c r="D753" s="444"/>
      <c r="E753" s="647"/>
      <c r="H753" s="283"/>
      <c r="I753" s="283"/>
      <c r="K753" s="791">
        <v>900</v>
      </c>
      <c r="L753" s="283"/>
      <c r="M753" s="21">
        <f t="shared" si="101"/>
        <v>900</v>
      </c>
      <c r="N753" s="283"/>
      <c r="O753" s="815"/>
      <c r="P753" s="164"/>
      <c r="Q753" s="351">
        <v>900</v>
      </c>
      <c r="R753" s="90">
        <v>900</v>
      </c>
      <c r="S753" s="1327" t="s">
        <v>5394</v>
      </c>
      <c r="T753" s="1327"/>
      <c r="U753" s="1327"/>
      <c r="X753" s="16"/>
      <c r="Y753" s="16"/>
    </row>
    <row r="754" spans="1:25" s="42" customFormat="1" ht="45" customHeight="1">
      <c r="A754" s="740"/>
      <c r="B754" s="101" t="s">
        <v>5372</v>
      </c>
      <c r="C754" s="164"/>
      <c r="D754" s="444"/>
      <c r="E754" s="647"/>
      <c r="H754" s="283"/>
      <c r="I754" s="283"/>
      <c r="K754" s="791">
        <v>700</v>
      </c>
      <c r="L754" s="283"/>
      <c r="M754" s="21">
        <f t="shared" si="101"/>
        <v>700</v>
      </c>
      <c r="N754" s="283"/>
      <c r="O754" s="815"/>
      <c r="P754" s="164"/>
      <c r="Q754" s="93">
        <v>700</v>
      </c>
      <c r="R754" s="469">
        <v>697</v>
      </c>
      <c r="S754" s="1327" t="s">
        <v>5394</v>
      </c>
      <c r="T754" s="1327"/>
      <c r="U754" s="1327"/>
      <c r="X754" s="16"/>
      <c r="Y754" s="16"/>
    </row>
    <row r="755" spans="1:25" s="42" customFormat="1" ht="15">
      <c r="A755" s="740"/>
      <c r="B755" s="446" t="s">
        <v>5373</v>
      </c>
      <c r="C755" s="164"/>
      <c r="D755" s="444"/>
      <c r="E755" s="647"/>
      <c r="H755" s="283"/>
      <c r="I755" s="283"/>
      <c r="K755" s="791">
        <v>20000</v>
      </c>
      <c r="L755" s="283"/>
      <c r="M755" s="283">
        <f t="shared" si="101"/>
        <v>20000</v>
      </c>
      <c r="N755" s="283"/>
      <c r="O755" s="815"/>
      <c r="P755" s="164"/>
      <c r="Q755" s="351">
        <v>20000</v>
      </c>
      <c r="R755" s="90">
        <v>20000</v>
      </c>
      <c r="S755" s="1327" t="s">
        <v>5394</v>
      </c>
      <c r="T755" s="1327"/>
      <c r="U755" s="1327"/>
      <c r="X755" s="16"/>
      <c r="Y755" s="16"/>
    </row>
    <row r="756" spans="1:25" s="42" customFormat="1" ht="15">
      <c r="A756" s="740"/>
      <c r="B756" s="446" t="s">
        <v>5374</v>
      </c>
      <c r="C756" s="164"/>
      <c r="D756" s="444"/>
      <c r="E756" s="647"/>
      <c r="H756" s="283"/>
      <c r="I756" s="283"/>
      <c r="K756" s="791">
        <v>20000</v>
      </c>
      <c r="L756" s="283"/>
      <c r="M756" s="283">
        <f t="shared" si="101"/>
        <v>20000</v>
      </c>
      <c r="N756" s="283"/>
      <c r="O756" s="815"/>
      <c r="P756" s="164"/>
      <c r="Q756" s="351">
        <v>20000</v>
      </c>
      <c r="R756" s="90">
        <v>20000</v>
      </c>
      <c r="S756" s="1327" t="s">
        <v>5394</v>
      </c>
      <c r="T756" s="1327"/>
      <c r="U756" s="1327"/>
      <c r="X756" s="16"/>
      <c r="Y756" s="16"/>
    </row>
    <row r="757" spans="1:25" s="42" customFormat="1" ht="15">
      <c r="A757" s="740"/>
      <c r="B757" s="446" t="s">
        <v>5375</v>
      </c>
      <c r="C757" s="164"/>
      <c r="D757" s="444"/>
      <c r="E757" s="647"/>
      <c r="H757" s="283"/>
      <c r="I757" s="283"/>
      <c r="K757" s="791">
        <v>400</v>
      </c>
      <c r="L757" s="283"/>
      <c r="M757" s="283">
        <f t="shared" si="101"/>
        <v>400</v>
      </c>
      <c r="N757" s="283"/>
      <c r="O757" s="815"/>
      <c r="P757" s="164"/>
      <c r="Q757" s="351">
        <v>400</v>
      </c>
      <c r="R757" s="90">
        <v>400</v>
      </c>
      <c r="S757" s="1327" t="s">
        <v>5394</v>
      </c>
      <c r="T757" s="1327"/>
      <c r="U757" s="1327"/>
      <c r="X757" s="16"/>
      <c r="Y757" s="16"/>
    </row>
    <row r="758" spans="1:25" s="42" customFormat="1" ht="15">
      <c r="A758" s="740"/>
      <c r="B758" s="446" t="s">
        <v>5376</v>
      </c>
      <c r="C758" s="164"/>
      <c r="D758" s="444"/>
      <c r="E758" s="647"/>
      <c r="H758" s="283"/>
      <c r="I758" s="283"/>
      <c r="K758" s="791">
        <v>1000</v>
      </c>
      <c r="L758" s="283"/>
      <c r="M758" s="283">
        <f t="shared" si="101"/>
        <v>1000</v>
      </c>
      <c r="N758" s="283"/>
      <c r="O758" s="815"/>
      <c r="P758" s="164"/>
      <c r="Q758" s="351">
        <v>1000</v>
      </c>
      <c r="R758" s="90">
        <v>1000</v>
      </c>
      <c r="S758" s="1327" t="s">
        <v>5394</v>
      </c>
      <c r="T758" s="1327"/>
      <c r="U758" s="1327"/>
      <c r="X758" s="16"/>
      <c r="Y758" s="16"/>
    </row>
    <row r="759" spans="1:25" s="42" customFormat="1" ht="15">
      <c r="A759" s="740"/>
      <c r="B759" s="446" t="s">
        <v>5377</v>
      </c>
      <c r="C759" s="164"/>
      <c r="D759" s="444"/>
      <c r="E759" s="647"/>
      <c r="H759" s="283"/>
      <c r="I759" s="283"/>
      <c r="K759" s="791">
        <v>1000</v>
      </c>
      <c r="L759" s="283"/>
      <c r="M759" s="283">
        <f t="shared" si="101"/>
        <v>1000</v>
      </c>
      <c r="N759" s="283"/>
      <c r="O759" s="815"/>
      <c r="P759" s="164"/>
      <c r="Q759" s="351">
        <v>1000</v>
      </c>
      <c r="R759" s="90">
        <v>1000</v>
      </c>
      <c r="S759" s="1327" t="s">
        <v>5394</v>
      </c>
      <c r="T759" s="1327"/>
      <c r="U759" s="1327"/>
      <c r="X759" s="16"/>
      <c r="Y759" s="16"/>
    </row>
    <row r="760" spans="1:25" s="42" customFormat="1" ht="15">
      <c r="A760" s="740"/>
      <c r="B760" s="446" t="s">
        <v>5378</v>
      </c>
      <c r="C760" s="164"/>
      <c r="D760" s="444"/>
      <c r="E760" s="647"/>
      <c r="H760" s="283"/>
      <c r="I760" s="283"/>
      <c r="K760" s="791">
        <v>2000</v>
      </c>
      <c r="L760" s="283"/>
      <c r="M760" s="283">
        <f t="shared" si="101"/>
        <v>2000</v>
      </c>
      <c r="N760" s="283"/>
      <c r="O760" s="815"/>
      <c r="P760" s="164"/>
      <c r="Q760" s="351">
        <v>2000</v>
      </c>
      <c r="R760" s="90">
        <v>2000</v>
      </c>
      <c r="S760" s="1327" t="s">
        <v>5394</v>
      </c>
      <c r="T760" s="1327"/>
      <c r="U760" s="1327"/>
      <c r="X760" s="16"/>
      <c r="Y760" s="16"/>
    </row>
    <row r="761" spans="1:25" s="42" customFormat="1" ht="15">
      <c r="A761" s="740"/>
      <c r="B761" s="446" t="s">
        <v>5379</v>
      </c>
      <c r="C761" s="164"/>
      <c r="D761" s="444"/>
      <c r="E761" s="647"/>
      <c r="H761" s="283"/>
      <c r="I761" s="283"/>
      <c r="K761" s="791">
        <v>900</v>
      </c>
      <c r="L761" s="283"/>
      <c r="M761" s="283">
        <f t="shared" si="101"/>
        <v>900</v>
      </c>
      <c r="N761" s="283"/>
      <c r="O761" s="815"/>
      <c r="P761" s="164"/>
      <c r="Q761" s="351">
        <v>900</v>
      </c>
      <c r="R761" s="90">
        <v>900</v>
      </c>
      <c r="S761" s="1327" t="s">
        <v>5394</v>
      </c>
      <c r="T761" s="1327"/>
      <c r="U761" s="1327"/>
      <c r="X761" s="16"/>
      <c r="Y761" s="16"/>
    </row>
    <row r="762" spans="1:25" s="42" customFormat="1" ht="15">
      <c r="A762" s="740"/>
      <c r="B762" s="446" t="s">
        <v>5380</v>
      </c>
      <c r="C762" s="164"/>
      <c r="D762" s="444"/>
      <c r="E762" s="647"/>
      <c r="H762" s="283"/>
      <c r="I762" s="283"/>
      <c r="K762" s="791">
        <v>1000</v>
      </c>
      <c r="L762" s="283"/>
      <c r="M762" s="283">
        <f t="shared" si="101"/>
        <v>1000</v>
      </c>
      <c r="N762" s="283"/>
      <c r="O762" s="815"/>
      <c r="P762" s="164"/>
      <c r="Q762" s="351">
        <v>1000</v>
      </c>
      <c r="R762" s="90">
        <v>1000</v>
      </c>
      <c r="S762" s="1327" t="s">
        <v>5394</v>
      </c>
      <c r="T762" s="1327"/>
      <c r="U762" s="1327"/>
      <c r="X762" s="16"/>
      <c r="Y762" s="16"/>
    </row>
    <row r="763" spans="1:25" s="42" customFormat="1" ht="15">
      <c r="A763" s="740"/>
      <c r="B763" s="446" t="s">
        <v>5381</v>
      </c>
      <c r="C763" s="164"/>
      <c r="D763" s="444"/>
      <c r="E763" s="647"/>
      <c r="H763" s="283"/>
      <c r="I763" s="283"/>
      <c r="K763" s="791">
        <v>1000</v>
      </c>
      <c r="L763" s="283"/>
      <c r="M763" s="283">
        <f t="shared" si="101"/>
        <v>1000</v>
      </c>
      <c r="N763" s="283"/>
      <c r="O763" s="815"/>
      <c r="P763" s="164"/>
      <c r="Q763" s="351">
        <v>1000</v>
      </c>
      <c r="R763" s="90">
        <v>1000</v>
      </c>
      <c r="S763" s="1327" t="s">
        <v>5394</v>
      </c>
      <c r="T763" s="1327"/>
      <c r="U763" s="1327"/>
      <c r="X763" s="16"/>
      <c r="Y763" s="16"/>
    </row>
    <row r="764" spans="1:25" s="42" customFormat="1" ht="15">
      <c r="A764" s="740"/>
      <c r="B764" s="446" t="s">
        <v>5382</v>
      </c>
      <c r="C764" s="164"/>
      <c r="D764" s="444"/>
      <c r="E764" s="647"/>
      <c r="H764" s="283"/>
      <c r="I764" s="283"/>
      <c r="K764" s="791">
        <v>500</v>
      </c>
      <c r="L764" s="283"/>
      <c r="M764" s="283">
        <f t="shared" si="101"/>
        <v>500</v>
      </c>
      <c r="N764" s="283"/>
      <c r="O764" s="815"/>
      <c r="P764" s="164"/>
      <c r="Q764" s="351">
        <v>500</v>
      </c>
      <c r="R764" s="90">
        <v>500</v>
      </c>
      <c r="S764" s="1327" t="s">
        <v>5394</v>
      </c>
      <c r="T764" s="1327"/>
      <c r="U764" s="1327"/>
      <c r="X764" s="16"/>
      <c r="Y764" s="16"/>
    </row>
    <row r="765" spans="1:25" s="42" customFormat="1" ht="15">
      <c r="A765" s="740"/>
      <c r="B765" s="446" t="s">
        <v>5383</v>
      </c>
      <c r="C765" s="164"/>
      <c r="D765" s="444"/>
      <c r="E765" s="647"/>
      <c r="H765" s="283"/>
      <c r="I765" s="283"/>
      <c r="K765" s="791">
        <v>500</v>
      </c>
      <c r="L765" s="283"/>
      <c r="M765" s="283">
        <f t="shared" si="101"/>
        <v>500</v>
      </c>
      <c r="N765" s="283"/>
      <c r="O765" s="815"/>
      <c r="P765" s="164"/>
      <c r="Q765" s="351">
        <v>500</v>
      </c>
      <c r="R765" s="90">
        <v>500</v>
      </c>
      <c r="S765" s="1327" t="s">
        <v>5394</v>
      </c>
      <c r="T765" s="1327"/>
      <c r="U765" s="1327"/>
      <c r="X765" s="16"/>
      <c r="Y765" s="16"/>
    </row>
    <row r="766" spans="1:25" s="42" customFormat="1" ht="15">
      <c r="A766" s="740"/>
      <c r="B766" s="446" t="s">
        <v>5384</v>
      </c>
      <c r="C766" s="164"/>
      <c r="D766" s="444"/>
      <c r="E766" s="647"/>
      <c r="H766" s="283"/>
      <c r="I766" s="283"/>
      <c r="K766" s="791">
        <v>600</v>
      </c>
      <c r="L766" s="283"/>
      <c r="M766" s="283">
        <f t="shared" si="101"/>
        <v>600</v>
      </c>
      <c r="N766" s="283"/>
      <c r="O766" s="815"/>
      <c r="P766" s="164"/>
      <c r="Q766" s="351">
        <v>600</v>
      </c>
      <c r="R766" s="90">
        <v>600</v>
      </c>
      <c r="S766" s="1327" t="s">
        <v>5394</v>
      </c>
      <c r="T766" s="1327"/>
      <c r="U766" s="1327"/>
      <c r="X766" s="16"/>
      <c r="Y766" s="16"/>
    </row>
    <row r="767" spans="1:25" s="42" customFormat="1" ht="15">
      <c r="A767" s="740"/>
      <c r="B767" s="446" t="s">
        <v>5385</v>
      </c>
      <c r="C767" s="164"/>
      <c r="D767" s="444"/>
      <c r="E767" s="647"/>
      <c r="H767" s="283"/>
      <c r="I767" s="283"/>
      <c r="K767" s="791">
        <v>1000</v>
      </c>
      <c r="L767" s="283"/>
      <c r="M767" s="283">
        <f t="shared" si="101"/>
        <v>1000</v>
      </c>
      <c r="N767" s="283"/>
      <c r="O767" s="815"/>
      <c r="P767" s="164"/>
      <c r="Q767" s="351">
        <v>1000</v>
      </c>
      <c r="R767" s="90">
        <v>1000</v>
      </c>
      <c r="S767" s="1327" t="s">
        <v>5394</v>
      </c>
      <c r="T767" s="1327"/>
      <c r="U767" s="1327"/>
      <c r="X767" s="16"/>
      <c r="Y767" s="16"/>
    </row>
    <row r="768" spans="1:25" s="42" customFormat="1" ht="15">
      <c r="A768" s="740"/>
      <c r="B768" s="446" t="s">
        <v>5386</v>
      </c>
      <c r="C768" s="164"/>
      <c r="D768" s="444"/>
      <c r="E768" s="647"/>
      <c r="H768" s="283"/>
      <c r="I768" s="283"/>
      <c r="K768" s="791">
        <v>900</v>
      </c>
      <c r="L768" s="283"/>
      <c r="M768" s="283">
        <f t="shared" si="101"/>
        <v>900</v>
      </c>
      <c r="N768" s="283"/>
      <c r="O768" s="815"/>
      <c r="P768" s="164"/>
      <c r="Q768" s="351">
        <v>900</v>
      </c>
      <c r="R768" s="90">
        <v>896</v>
      </c>
      <c r="S768" s="1327" t="s">
        <v>5394</v>
      </c>
      <c r="T768" s="1327"/>
      <c r="U768" s="1327"/>
      <c r="X768" s="16"/>
      <c r="Y768" s="16"/>
    </row>
    <row r="769" spans="1:25" s="42" customFormat="1" ht="15">
      <c r="A769" s="740"/>
      <c r="B769" s="446" t="s">
        <v>5387</v>
      </c>
      <c r="C769" s="164"/>
      <c r="D769" s="444"/>
      <c r="E769" s="647"/>
      <c r="H769" s="283"/>
      <c r="I769" s="283"/>
      <c r="K769" s="791">
        <v>800</v>
      </c>
      <c r="L769" s="283"/>
      <c r="M769" s="283">
        <f t="shared" si="101"/>
        <v>800</v>
      </c>
      <c r="N769" s="283"/>
      <c r="O769" s="815"/>
      <c r="P769" s="164"/>
      <c r="Q769" s="351">
        <v>800</v>
      </c>
      <c r="R769" s="90">
        <v>800</v>
      </c>
      <c r="S769" s="1327" t="s">
        <v>5394</v>
      </c>
      <c r="T769" s="1327"/>
      <c r="U769" s="1327"/>
      <c r="X769" s="16"/>
      <c r="Y769" s="16"/>
    </row>
    <row r="770" spans="1:25" s="42" customFormat="1" ht="15">
      <c r="A770" s="740"/>
      <c r="B770" s="446" t="s">
        <v>5388</v>
      </c>
      <c r="C770" s="164"/>
      <c r="D770" s="444"/>
      <c r="E770" s="647"/>
      <c r="H770" s="283"/>
      <c r="I770" s="283"/>
      <c r="K770" s="791">
        <v>900</v>
      </c>
      <c r="L770" s="283"/>
      <c r="M770" s="283">
        <f t="shared" si="101"/>
        <v>900</v>
      </c>
      <c r="N770" s="283"/>
      <c r="O770" s="815"/>
      <c r="P770" s="164"/>
      <c r="Q770" s="351">
        <v>900</v>
      </c>
      <c r="R770" s="90">
        <v>900</v>
      </c>
      <c r="S770" s="1327" t="s">
        <v>5394</v>
      </c>
      <c r="T770" s="1327"/>
      <c r="U770" s="1327"/>
      <c r="X770" s="16"/>
      <c r="Y770" s="16"/>
    </row>
    <row r="771" spans="1:25" s="42" customFormat="1" ht="15">
      <c r="A771" s="740"/>
      <c r="B771" s="446" t="s">
        <v>5389</v>
      </c>
      <c r="C771" s="164"/>
      <c r="D771" s="444"/>
      <c r="E771" s="647"/>
      <c r="H771" s="283"/>
      <c r="I771" s="283"/>
      <c r="K771" s="791">
        <v>1000</v>
      </c>
      <c r="L771" s="283"/>
      <c r="M771" s="283">
        <f t="shared" si="101"/>
        <v>1000</v>
      </c>
      <c r="N771" s="283"/>
      <c r="O771" s="815"/>
      <c r="P771" s="164"/>
      <c r="Q771" s="351">
        <v>1000</v>
      </c>
      <c r="R771" s="90">
        <v>1000</v>
      </c>
      <c r="S771" s="1327" t="s">
        <v>5394</v>
      </c>
      <c r="T771" s="1327"/>
      <c r="U771" s="1327"/>
      <c r="X771" s="16"/>
      <c r="Y771" s="16"/>
    </row>
    <row r="772" spans="1:25" s="42" customFormat="1" ht="15">
      <c r="A772" s="740"/>
      <c r="B772" s="446" t="s">
        <v>5351</v>
      </c>
      <c r="C772" s="164"/>
      <c r="D772" s="444"/>
      <c r="E772" s="647"/>
      <c r="H772" s="283"/>
      <c r="I772" s="283"/>
      <c r="K772" s="791">
        <v>900</v>
      </c>
      <c r="L772" s="283"/>
      <c r="M772" s="283">
        <f t="shared" si="101"/>
        <v>900</v>
      </c>
      <c r="N772" s="283"/>
      <c r="O772" s="815"/>
      <c r="P772" s="164"/>
      <c r="Q772" s="351">
        <v>900</v>
      </c>
      <c r="R772" s="90">
        <v>900</v>
      </c>
      <c r="S772" s="1327" t="s">
        <v>5394</v>
      </c>
      <c r="T772" s="1327"/>
      <c r="U772" s="1327"/>
      <c r="X772" s="16"/>
      <c r="Y772" s="16"/>
    </row>
    <row r="773" spans="1:25" s="42" customFormat="1" ht="15">
      <c r="A773" s="740"/>
      <c r="B773" s="446" t="s">
        <v>5390</v>
      </c>
      <c r="C773" s="164"/>
      <c r="D773" s="444"/>
      <c r="E773" s="647"/>
      <c r="H773" s="283"/>
      <c r="I773" s="283"/>
      <c r="K773" s="791">
        <v>600</v>
      </c>
      <c r="L773" s="283"/>
      <c r="M773" s="283">
        <f t="shared" si="101"/>
        <v>600</v>
      </c>
      <c r="N773" s="283"/>
      <c r="O773" s="815"/>
      <c r="P773" s="164"/>
      <c r="Q773" s="351">
        <v>600</v>
      </c>
      <c r="R773" s="90">
        <v>600</v>
      </c>
      <c r="S773" s="1327" t="s">
        <v>5394</v>
      </c>
      <c r="T773" s="1327"/>
      <c r="U773" s="1327"/>
      <c r="X773" s="16"/>
      <c r="Y773" s="16"/>
    </row>
    <row r="774" spans="1:25" s="42" customFormat="1" ht="15">
      <c r="A774" s="740"/>
      <c r="B774" s="446" t="s">
        <v>5391</v>
      </c>
      <c r="C774" s="164"/>
      <c r="D774" s="444"/>
      <c r="E774" s="647"/>
      <c r="H774" s="283"/>
      <c r="I774" s="283"/>
      <c r="K774" s="791">
        <v>1000</v>
      </c>
      <c r="L774" s="283"/>
      <c r="M774" s="283">
        <f t="shared" si="101"/>
        <v>1000</v>
      </c>
      <c r="N774" s="283"/>
      <c r="O774" s="815"/>
      <c r="P774" s="164"/>
      <c r="Q774" s="351">
        <v>1000</v>
      </c>
      <c r="R774" s="90">
        <v>1000</v>
      </c>
      <c r="S774" s="1327" t="s">
        <v>5394</v>
      </c>
      <c r="T774" s="1327"/>
      <c r="U774" s="1327"/>
      <c r="X774" s="16"/>
      <c r="Y774" s="16"/>
    </row>
    <row r="775" spans="1:25" s="42" customFormat="1" ht="15">
      <c r="A775" s="740"/>
      <c r="B775" s="446" t="s">
        <v>5392</v>
      </c>
      <c r="C775" s="164"/>
      <c r="D775" s="444"/>
      <c r="E775" s="647"/>
      <c r="H775" s="283"/>
      <c r="I775" s="283"/>
      <c r="K775" s="791">
        <v>600</v>
      </c>
      <c r="L775" s="283"/>
      <c r="M775" s="283">
        <f t="shared" ref="M775:M776" si="102">SUM(K775:L775)</f>
        <v>600</v>
      </c>
      <c r="N775" s="283"/>
      <c r="O775" s="815"/>
      <c r="P775" s="164"/>
      <c r="Q775" s="351">
        <v>600</v>
      </c>
      <c r="R775" s="90">
        <v>600</v>
      </c>
      <c r="S775" s="1327" t="s">
        <v>5394</v>
      </c>
      <c r="T775" s="1327"/>
      <c r="U775" s="1327"/>
      <c r="X775" s="16"/>
      <c r="Y775" s="16"/>
    </row>
    <row r="776" spans="1:25" s="42" customFormat="1" ht="15">
      <c r="A776" s="740"/>
      <c r="B776" s="446" t="s">
        <v>5393</v>
      </c>
      <c r="C776" s="164"/>
      <c r="D776" s="444"/>
      <c r="E776" s="647"/>
      <c r="H776" s="283"/>
      <c r="I776" s="283"/>
      <c r="K776" s="791">
        <v>1000</v>
      </c>
      <c r="L776" s="283"/>
      <c r="M776" s="283">
        <f t="shared" si="102"/>
        <v>1000</v>
      </c>
      <c r="N776" s="283"/>
      <c r="O776" s="815"/>
      <c r="P776" s="164"/>
      <c r="Q776" s="351">
        <v>1000</v>
      </c>
      <c r="R776" s="90">
        <v>1000</v>
      </c>
      <c r="S776" s="1327" t="s">
        <v>5394</v>
      </c>
      <c r="T776" s="1327"/>
      <c r="U776" s="1327"/>
      <c r="X776" s="16"/>
      <c r="Y776" s="16"/>
    </row>
    <row r="777" spans="1:25" s="42" customFormat="1" ht="15">
      <c r="A777" s="740"/>
      <c r="B777" s="446" t="s">
        <v>1607</v>
      </c>
      <c r="C777" s="164" t="s">
        <v>2249</v>
      </c>
      <c r="D777" s="444">
        <v>40876</v>
      </c>
      <c r="E777" s="647"/>
      <c r="F777" s="42" t="s">
        <v>315</v>
      </c>
      <c r="H777" s="283"/>
      <c r="I777" s="283"/>
      <c r="K777" s="283"/>
      <c r="L777" s="283"/>
      <c r="M777" s="283">
        <f t="shared" si="98"/>
        <v>0</v>
      </c>
      <c r="N777" s="283"/>
      <c r="O777" s="815"/>
      <c r="P777" s="164" t="s">
        <v>104</v>
      </c>
      <c r="Q777" s="351"/>
      <c r="R777" s="351"/>
      <c r="S777" s="877" t="s">
        <v>2250</v>
      </c>
      <c r="T777" s="933"/>
      <c r="U777" s="933"/>
      <c r="W777" s="42" t="s">
        <v>2002</v>
      </c>
      <c r="X777" s="16">
        <f t="shared" si="97"/>
        <v>0</v>
      </c>
      <c r="Y777" s="16">
        <f>X777-M777</f>
        <v>0</v>
      </c>
    </row>
    <row r="778" spans="1:25" s="42" customFormat="1" ht="15">
      <c r="A778" s="740"/>
      <c r="B778" s="1166" t="s">
        <v>5501</v>
      </c>
      <c r="C778" s="164"/>
      <c r="D778" s="444"/>
      <c r="E778" s="647"/>
      <c r="H778" s="283"/>
      <c r="I778" s="283"/>
      <c r="K778" s="1167">
        <v>35000</v>
      </c>
      <c r="L778" s="283"/>
      <c r="M778" s="283">
        <f t="shared" si="98"/>
        <v>35000</v>
      </c>
      <c r="N778" s="283"/>
      <c r="O778" s="815"/>
      <c r="P778" s="164"/>
      <c r="Q778" s="993">
        <v>35000</v>
      </c>
      <c r="R778" s="993">
        <v>35000</v>
      </c>
      <c r="S778" s="877"/>
      <c r="T778" s="933"/>
      <c r="U778" s="933"/>
      <c r="X778" s="16"/>
      <c r="Y778" s="16"/>
    </row>
    <row r="779" spans="1:25" s="42" customFormat="1" ht="15">
      <c r="A779" s="740"/>
      <c r="B779" s="1166" t="s">
        <v>5502</v>
      </c>
      <c r="C779" s="164"/>
      <c r="D779" s="444"/>
      <c r="E779" s="647"/>
      <c r="H779" s="283"/>
      <c r="I779" s="283"/>
      <c r="K779" s="1167">
        <v>20000</v>
      </c>
      <c r="L779" s="283"/>
      <c r="M779" s="283">
        <f t="shared" si="98"/>
        <v>20000</v>
      </c>
      <c r="N779" s="283"/>
      <c r="O779" s="815"/>
      <c r="P779" s="164"/>
      <c r="Q779" s="993">
        <v>20000</v>
      </c>
      <c r="R779" s="993">
        <v>20000</v>
      </c>
      <c r="S779" s="877"/>
      <c r="T779" s="933"/>
      <c r="U779" s="933"/>
      <c r="X779" s="16"/>
      <c r="Y779" s="16"/>
    </row>
    <row r="780" spans="1:25" s="42" customFormat="1" ht="15">
      <c r="A780" s="740"/>
      <c r="B780" s="1166" t="s">
        <v>5503</v>
      </c>
      <c r="C780" s="164"/>
      <c r="D780" s="444"/>
      <c r="E780" s="647"/>
      <c r="H780" s="283"/>
      <c r="I780" s="283"/>
      <c r="K780" s="1167">
        <v>20000</v>
      </c>
      <c r="L780" s="283"/>
      <c r="M780" s="283">
        <f t="shared" si="98"/>
        <v>20000</v>
      </c>
      <c r="N780" s="283"/>
      <c r="O780" s="815"/>
      <c r="P780" s="164"/>
      <c r="Q780" s="993">
        <v>20000</v>
      </c>
      <c r="R780" s="993">
        <v>20000</v>
      </c>
      <c r="S780" s="877"/>
      <c r="T780" s="933"/>
      <c r="U780" s="933"/>
      <c r="X780" s="16"/>
      <c r="Y780" s="16"/>
    </row>
    <row r="781" spans="1:25" s="42" customFormat="1" ht="15">
      <c r="A781" s="740"/>
      <c r="B781" s="1166" t="s">
        <v>5504</v>
      </c>
      <c r="C781" s="164"/>
      <c r="D781" s="444"/>
      <c r="E781" s="647"/>
      <c r="H781" s="283"/>
      <c r="I781" s="283"/>
      <c r="K781" s="1167">
        <v>30000</v>
      </c>
      <c r="L781" s="283"/>
      <c r="M781" s="283">
        <f t="shared" si="98"/>
        <v>30000</v>
      </c>
      <c r="N781" s="283"/>
      <c r="O781" s="815"/>
      <c r="P781" s="164"/>
      <c r="Q781" s="993">
        <v>30000</v>
      </c>
      <c r="R781" s="993">
        <v>30000</v>
      </c>
      <c r="S781" s="877"/>
      <c r="T781" s="933"/>
      <c r="U781" s="933"/>
      <c r="X781" s="16"/>
      <c r="Y781" s="16"/>
    </row>
    <row r="782" spans="1:25" s="42" customFormat="1" ht="15">
      <c r="A782" s="740"/>
      <c r="B782" s="851" t="s">
        <v>5505</v>
      </c>
      <c r="C782" s="164"/>
      <c r="D782" s="444"/>
      <c r="E782" s="647"/>
      <c r="H782" s="283"/>
      <c r="I782" s="283"/>
      <c r="K782" s="798"/>
      <c r="L782" s="283"/>
      <c r="M782" s="283">
        <f t="shared" si="98"/>
        <v>0</v>
      </c>
      <c r="N782" s="283"/>
      <c r="O782" s="815"/>
      <c r="P782" s="164"/>
      <c r="Q782" s="351"/>
      <c r="R782" s="351"/>
      <c r="S782" s="877"/>
      <c r="T782" s="933"/>
      <c r="U782" s="933"/>
      <c r="X782" s="16"/>
      <c r="Y782" s="16"/>
    </row>
    <row r="783" spans="1:25" s="42" customFormat="1" ht="15">
      <c r="A783" s="740"/>
      <c r="B783" s="1166" t="s">
        <v>5506</v>
      </c>
      <c r="C783" s="164"/>
      <c r="D783" s="444"/>
      <c r="E783" s="647"/>
      <c r="H783" s="283"/>
      <c r="I783" s="283"/>
      <c r="K783" s="1167">
        <v>700</v>
      </c>
      <c r="L783" s="283"/>
      <c r="M783" s="283">
        <f t="shared" si="98"/>
        <v>700</v>
      </c>
      <c r="N783" s="283"/>
      <c r="O783" s="815"/>
      <c r="P783" s="164"/>
      <c r="Q783" s="993">
        <v>700</v>
      </c>
      <c r="R783" s="993">
        <v>700</v>
      </c>
      <c r="S783" s="877"/>
      <c r="T783" s="933"/>
      <c r="U783" s="933"/>
      <c r="X783" s="16"/>
      <c r="Y783" s="16"/>
    </row>
    <row r="784" spans="1:25" s="42" customFormat="1" ht="15">
      <c r="A784" s="740"/>
      <c r="B784" s="1166" t="s">
        <v>5507</v>
      </c>
      <c r="C784" s="164"/>
      <c r="D784" s="444"/>
      <c r="E784" s="647"/>
      <c r="H784" s="283"/>
      <c r="I784" s="283"/>
      <c r="K784" s="1167">
        <v>500</v>
      </c>
      <c r="L784" s="283"/>
      <c r="M784" s="283">
        <f t="shared" si="98"/>
        <v>500</v>
      </c>
      <c r="N784" s="283"/>
      <c r="O784" s="815"/>
      <c r="P784" s="164"/>
      <c r="Q784" s="993">
        <v>500</v>
      </c>
      <c r="R784" s="993">
        <v>500</v>
      </c>
      <c r="S784" s="877"/>
      <c r="T784" s="933"/>
      <c r="U784" s="933"/>
      <c r="X784" s="16"/>
      <c r="Y784" s="16"/>
    </row>
    <row r="785" spans="1:25" s="42" customFormat="1" ht="15">
      <c r="A785" s="740"/>
      <c r="B785" s="1166" t="s">
        <v>5508</v>
      </c>
      <c r="C785" s="164"/>
      <c r="D785" s="444"/>
      <c r="E785" s="647"/>
      <c r="H785" s="283"/>
      <c r="I785" s="283"/>
      <c r="K785" s="1167">
        <v>500</v>
      </c>
      <c r="L785" s="283"/>
      <c r="M785" s="283">
        <f t="shared" si="98"/>
        <v>500</v>
      </c>
      <c r="N785" s="283"/>
      <c r="O785" s="815"/>
      <c r="P785" s="164"/>
      <c r="Q785" s="993">
        <v>500</v>
      </c>
      <c r="R785" s="993">
        <v>500</v>
      </c>
      <c r="S785" s="877"/>
      <c r="T785" s="933"/>
      <c r="U785" s="933"/>
      <c r="X785" s="16"/>
      <c r="Y785" s="16"/>
    </row>
    <row r="786" spans="1:25" s="42" customFormat="1" ht="15">
      <c r="A786" s="740"/>
      <c r="B786" s="1166" t="s">
        <v>5509</v>
      </c>
      <c r="C786" s="164"/>
      <c r="D786" s="444"/>
      <c r="E786" s="647"/>
      <c r="H786" s="283"/>
      <c r="I786" s="283"/>
      <c r="K786" s="1167">
        <v>1000</v>
      </c>
      <c r="L786" s="283"/>
      <c r="M786" s="283">
        <f t="shared" si="98"/>
        <v>1000</v>
      </c>
      <c r="N786" s="283"/>
      <c r="O786" s="815"/>
      <c r="P786" s="164"/>
      <c r="Q786" s="993">
        <v>1000</v>
      </c>
      <c r="R786" s="993">
        <v>1000</v>
      </c>
      <c r="S786" s="877"/>
      <c r="T786" s="933"/>
      <c r="U786" s="933"/>
      <c r="X786" s="16"/>
      <c r="Y786" s="16"/>
    </row>
    <row r="787" spans="1:25" s="42" customFormat="1" ht="15">
      <c r="A787" s="740"/>
      <c r="B787" s="1166" t="s">
        <v>5510</v>
      </c>
      <c r="C787" s="164"/>
      <c r="D787" s="444"/>
      <c r="E787" s="647"/>
      <c r="H787" s="283"/>
      <c r="I787" s="283"/>
      <c r="K787" s="1167">
        <v>600</v>
      </c>
      <c r="L787" s="283"/>
      <c r="M787" s="283">
        <f t="shared" si="98"/>
        <v>600</v>
      </c>
      <c r="N787" s="283"/>
      <c r="O787" s="815"/>
      <c r="P787" s="164"/>
      <c r="Q787" s="993">
        <v>600</v>
      </c>
      <c r="R787" s="993">
        <v>600</v>
      </c>
      <c r="S787" s="877"/>
      <c r="T787" s="933"/>
      <c r="U787" s="933"/>
      <c r="X787" s="16"/>
      <c r="Y787" s="16"/>
    </row>
    <row r="788" spans="1:25" s="42" customFormat="1" ht="15">
      <c r="A788" s="740"/>
      <c r="B788" s="1166" t="s">
        <v>5511</v>
      </c>
      <c r="C788" s="164"/>
      <c r="D788" s="444"/>
      <c r="E788" s="647"/>
      <c r="H788" s="283"/>
      <c r="I788" s="283"/>
      <c r="K788" s="1167">
        <v>700</v>
      </c>
      <c r="L788" s="283"/>
      <c r="M788" s="283">
        <f t="shared" si="98"/>
        <v>700</v>
      </c>
      <c r="N788" s="283"/>
      <c r="O788" s="815"/>
      <c r="P788" s="164"/>
      <c r="Q788" s="993">
        <v>700</v>
      </c>
      <c r="R788" s="993">
        <v>700</v>
      </c>
      <c r="S788" s="877"/>
      <c r="T788" s="933"/>
      <c r="U788" s="933"/>
      <c r="X788" s="16"/>
      <c r="Y788" s="16"/>
    </row>
    <row r="789" spans="1:25" s="42" customFormat="1" ht="15">
      <c r="A789" s="740"/>
      <c r="B789" s="1166" t="s">
        <v>5512</v>
      </c>
      <c r="C789" s="164"/>
      <c r="D789" s="444"/>
      <c r="E789" s="647"/>
      <c r="H789" s="283"/>
      <c r="I789" s="283"/>
      <c r="K789" s="1167">
        <v>1000</v>
      </c>
      <c r="L789" s="283"/>
      <c r="M789" s="283">
        <f t="shared" si="98"/>
        <v>1000</v>
      </c>
      <c r="N789" s="283"/>
      <c r="O789" s="815"/>
      <c r="P789" s="164"/>
      <c r="Q789" s="993">
        <v>1000</v>
      </c>
      <c r="R789" s="993">
        <v>1000</v>
      </c>
      <c r="S789" s="877"/>
      <c r="T789" s="933"/>
      <c r="U789" s="933"/>
      <c r="X789" s="16"/>
      <c r="Y789" s="16"/>
    </row>
    <row r="790" spans="1:25" s="42" customFormat="1" ht="15">
      <c r="A790" s="740"/>
      <c r="B790" s="1166" t="s">
        <v>5513</v>
      </c>
      <c r="C790" s="164"/>
      <c r="D790" s="444"/>
      <c r="E790" s="647"/>
      <c r="H790" s="283"/>
      <c r="I790" s="283"/>
      <c r="K790" s="1167">
        <v>900</v>
      </c>
      <c r="L790" s="283"/>
      <c r="M790" s="283">
        <f t="shared" si="98"/>
        <v>900</v>
      </c>
      <c r="N790" s="283"/>
      <c r="O790" s="815"/>
      <c r="P790" s="164"/>
      <c r="Q790" s="993">
        <v>900</v>
      </c>
      <c r="R790" s="993">
        <v>900</v>
      </c>
      <c r="S790" s="877"/>
      <c r="T790" s="933"/>
      <c r="U790" s="933"/>
      <c r="X790" s="16"/>
      <c r="Y790" s="16"/>
    </row>
    <row r="791" spans="1:25" s="42" customFormat="1" ht="15">
      <c r="A791" s="740"/>
      <c r="B791" s="1166" t="s">
        <v>5514</v>
      </c>
      <c r="C791" s="164"/>
      <c r="D791" s="444"/>
      <c r="E791" s="647"/>
      <c r="H791" s="283"/>
      <c r="I791" s="283"/>
      <c r="K791" s="1167">
        <v>900</v>
      </c>
      <c r="L791" s="283"/>
      <c r="M791" s="283">
        <f t="shared" si="98"/>
        <v>900</v>
      </c>
      <c r="N791" s="283"/>
      <c r="O791" s="815"/>
      <c r="P791" s="164"/>
      <c r="Q791" s="993">
        <v>900</v>
      </c>
      <c r="R791" s="993">
        <v>900</v>
      </c>
      <c r="S791" s="877"/>
      <c r="T791" s="933"/>
      <c r="U791" s="933"/>
      <c r="X791" s="16"/>
      <c r="Y791" s="16"/>
    </row>
    <row r="792" spans="1:25" s="42" customFormat="1" ht="15">
      <c r="A792" s="740"/>
      <c r="B792" s="1166" t="s">
        <v>5515</v>
      </c>
      <c r="C792" s="164"/>
      <c r="D792" s="444"/>
      <c r="E792" s="647"/>
      <c r="H792" s="283"/>
      <c r="I792" s="283"/>
      <c r="K792" s="1167">
        <v>800</v>
      </c>
      <c r="L792" s="283"/>
      <c r="M792" s="283">
        <f t="shared" si="98"/>
        <v>800</v>
      </c>
      <c r="N792" s="283"/>
      <c r="O792" s="815"/>
      <c r="P792" s="164"/>
      <c r="Q792" s="993">
        <v>800</v>
      </c>
      <c r="R792" s="993">
        <v>800</v>
      </c>
      <c r="S792" s="877"/>
      <c r="T792" s="933"/>
      <c r="U792" s="933"/>
      <c r="X792" s="16"/>
      <c r="Y792" s="16"/>
    </row>
    <row r="793" spans="1:25" s="42" customFormat="1" ht="15">
      <c r="A793" s="740"/>
      <c r="B793" s="1166" t="s">
        <v>5516</v>
      </c>
      <c r="C793" s="164"/>
      <c r="D793" s="444"/>
      <c r="E793" s="647"/>
      <c r="H793" s="283"/>
      <c r="I793" s="283"/>
      <c r="K793" s="1167">
        <v>800</v>
      </c>
      <c r="L793" s="283"/>
      <c r="M793" s="283">
        <f t="shared" si="98"/>
        <v>800</v>
      </c>
      <c r="N793" s="283"/>
      <c r="O793" s="815"/>
      <c r="P793" s="164"/>
      <c r="Q793" s="993">
        <v>800</v>
      </c>
      <c r="R793" s="993">
        <v>800</v>
      </c>
      <c r="S793" s="877"/>
      <c r="T793" s="933"/>
      <c r="U793" s="933"/>
      <c r="X793" s="16"/>
      <c r="Y793" s="16"/>
    </row>
    <row r="794" spans="1:25" s="42" customFormat="1" ht="15">
      <c r="A794" s="740"/>
      <c r="B794" s="1166" t="s">
        <v>5517</v>
      </c>
      <c r="C794" s="164"/>
      <c r="D794" s="444"/>
      <c r="E794" s="647"/>
      <c r="H794" s="283"/>
      <c r="I794" s="283"/>
      <c r="K794" s="1167">
        <v>800</v>
      </c>
      <c r="L794" s="283"/>
      <c r="M794" s="283">
        <f t="shared" si="98"/>
        <v>800</v>
      </c>
      <c r="N794" s="283"/>
      <c r="O794" s="815"/>
      <c r="P794" s="164"/>
      <c r="Q794" s="993">
        <v>800</v>
      </c>
      <c r="R794" s="993">
        <v>800</v>
      </c>
      <c r="S794" s="877"/>
      <c r="T794" s="933"/>
      <c r="U794" s="933"/>
      <c r="X794" s="16"/>
      <c r="Y794" s="16"/>
    </row>
    <row r="795" spans="1:25" s="42" customFormat="1" ht="15">
      <c r="A795" s="740"/>
      <c r="B795" s="1166" t="s">
        <v>5518</v>
      </c>
      <c r="C795" s="164"/>
      <c r="D795" s="444"/>
      <c r="E795" s="647"/>
      <c r="H795" s="283"/>
      <c r="I795" s="283"/>
      <c r="K795" s="1167">
        <v>1000</v>
      </c>
      <c r="L795" s="283"/>
      <c r="M795" s="283">
        <f t="shared" si="98"/>
        <v>1000</v>
      </c>
      <c r="N795" s="283"/>
      <c r="O795" s="815"/>
      <c r="P795" s="164"/>
      <c r="Q795" s="993">
        <v>1000</v>
      </c>
      <c r="R795" s="993">
        <v>1000</v>
      </c>
      <c r="S795" s="877"/>
      <c r="T795" s="933"/>
      <c r="U795" s="933"/>
      <c r="X795" s="16"/>
      <c r="Y795" s="16"/>
    </row>
    <row r="796" spans="1:25" s="42" customFormat="1" ht="15">
      <c r="A796" s="740"/>
      <c r="B796" s="1166" t="s">
        <v>5519</v>
      </c>
      <c r="C796" s="164"/>
      <c r="D796" s="444"/>
      <c r="E796" s="647"/>
      <c r="H796" s="283"/>
      <c r="I796" s="283"/>
      <c r="K796" s="1167">
        <v>600</v>
      </c>
      <c r="L796" s="283"/>
      <c r="M796" s="283">
        <f t="shared" si="98"/>
        <v>600</v>
      </c>
      <c r="N796" s="283"/>
      <c r="O796" s="815"/>
      <c r="P796" s="164"/>
      <c r="Q796" s="993">
        <v>600</v>
      </c>
      <c r="R796" s="993">
        <v>600</v>
      </c>
      <c r="S796" s="877"/>
      <c r="T796" s="933"/>
      <c r="U796" s="933"/>
      <c r="X796" s="16"/>
      <c r="Y796" s="16"/>
    </row>
    <row r="797" spans="1:25" s="42" customFormat="1" ht="15">
      <c r="A797" s="740"/>
      <c r="B797" s="288" t="s">
        <v>5520</v>
      </c>
      <c r="C797" s="164"/>
      <c r="D797" s="444"/>
      <c r="E797" s="647"/>
      <c r="H797" s="283"/>
      <c r="I797" s="283"/>
      <c r="K797" s="798">
        <v>500</v>
      </c>
      <c r="L797" s="283"/>
      <c r="M797" s="283">
        <f t="shared" si="98"/>
        <v>500</v>
      </c>
      <c r="N797" s="283"/>
      <c r="O797" s="815"/>
      <c r="P797" s="164"/>
      <c r="Q797" s="351">
        <v>500</v>
      </c>
      <c r="R797" s="351">
        <v>500</v>
      </c>
      <c r="S797" s="877"/>
      <c r="T797" s="933"/>
      <c r="U797" s="933"/>
      <c r="X797" s="16"/>
      <c r="Y797" s="16"/>
    </row>
    <row r="798" spans="1:25" s="42" customFormat="1" ht="15">
      <c r="A798" s="740"/>
      <c r="B798" s="288" t="s">
        <v>5521</v>
      </c>
      <c r="C798" s="164"/>
      <c r="D798" s="444"/>
      <c r="E798" s="647"/>
      <c r="H798" s="283"/>
      <c r="I798" s="283"/>
      <c r="K798" s="798">
        <v>1000</v>
      </c>
      <c r="L798" s="283"/>
      <c r="M798" s="283">
        <f t="shared" si="98"/>
        <v>1000</v>
      </c>
      <c r="N798" s="283"/>
      <c r="O798" s="815"/>
      <c r="P798" s="164"/>
      <c r="Q798" s="351">
        <v>1000</v>
      </c>
      <c r="R798" s="351">
        <v>1000</v>
      </c>
      <c r="S798" s="877"/>
      <c r="T798" s="933"/>
      <c r="U798" s="933"/>
      <c r="X798" s="16"/>
      <c r="Y798" s="16"/>
    </row>
    <row r="799" spans="1:25" s="42" customFormat="1" ht="15">
      <c r="A799" s="740"/>
      <c r="B799" s="288" t="s">
        <v>5522</v>
      </c>
      <c r="C799" s="164"/>
      <c r="D799" s="444"/>
      <c r="E799" s="647"/>
      <c r="H799" s="283"/>
      <c r="I799" s="283"/>
      <c r="K799" s="798">
        <v>500</v>
      </c>
      <c r="L799" s="283"/>
      <c r="M799" s="283">
        <f t="shared" si="98"/>
        <v>500</v>
      </c>
      <c r="N799" s="283"/>
      <c r="O799" s="815"/>
      <c r="P799" s="164"/>
      <c r="Q799" s="351">
        <v>500</v>
      </c>
      <c r="R799" s="351">
        <v>500</v>
      </c>
      <c r="S799" s="877"/>
      <c r="T799" s="933"/>
      <c r="U799" s="933"/>
      <c r="X799" s="16"/>
      <c r="Y799" s="16"/>
    </row>
    <row r="800" spans="1:25" s="42" customFormat="1" ht="15">
      <c r="A800" s="740"/>
      <c r="B800" s="288" t="s">
        <v>5523</v>
      </c>
      <c r="C800" s="164"/>
      <c r="D800" s="444"/>
      <c r="E800" s="647"/>
      <c r="H800" s="283"/>
      <c r="I800" s="283"/>
      <c r="K800" s="798">
        <v>900</v>
      </c>
      <c r="L800" s="283"/>
      <c r="M800" s="283">
        <f t="shared" si="98"/>
        <v>900</v>
      </c>
      <c r="N800" s="283"/>
      <c r="O800" s="815"/>
      <c r="P800" s="164"/>
      <c r="Q800" s="351">
        <v>900</v>
      </c>
      <c r="R800" s="351">
        <v>900</v>
      </c>
      <c r="S800" s="877"/>
      <c r="T800" s="933"/>
      <c r="U800" s="933"/>
      <c r="X800" s="16"/>
      <c r="Y800" s="16"/>
    </row>
    <row r="801" spans="1:25" s="42" customFormat="1" ht="15">
      <c r="A801" s="740"/>
      <c r="B801" s="288" t="s">
        <v>5524</v>
      </c>
      <c r="C801" s="164"/>
      <c r="D801" s="444"/>
      <c r="E801" s="647"/>
      <c r="H801" s="283"/>
      <c r="I801" s="283"/>
      <c r="K801" s="798">
        <v>500</v>
      </c>
      <c r="L801" s="283"/>
      <c r="M801" s="283">
        <f t="shared" si="98"/>
        <v>500</v>
      </c>
      <c r="N801" s="283"/>
      <c r="O801" s="815"/>
      <c r="P801" s="164"/>
      <c r="Q801" s="351">
        <v>500</v>
      </c>
      <c r="R801" s="351">
        <v>500</v>
      </c>
      <c r="S801" s="877"/>
      <c r="T801" s="933"/>
      <c r="U801" s="933"/>
      <c r="X801" s="16"/>
      <c r="Y801" s="16"/>
    </row>
    <row r="802" spans="1:25" s="42" customFormat="1" ht="15">
      <c r="A802" s="740"/>
      <c r="B802" s="288" t="s">
        <v>5525</v>
      </c>
      <c r="C802" s="164"/>
      <c r="D802" s="444"/>
      <c r="E802" s="647"/>
      <c r="H802" s="283"/>
      <c r="I802" s="283"/>
      <c r="K802" s="798">
        <v>800</v>
      </c>
      <c r="L802" s="283"/>
      <c r="M802" s="283">
        <f t="shared" si="98"/>
        <v>800</v>
      </c>
      <c r="N802" s="283"/>
      <c r="O802" s="815"/>
      <c r="P802" s="164"/>
      <c r="Q802" s="351">
        <v>800</v>
      </c>
      <c r="R802" s="351">
        <v>800</v>
      </c>
      <c r="S802" s="877"/>
      <c r="T802" s="933"/>
      <c r="U802" s="933"/>
      <c r="X802" s="16"/>
      <c r="Y802" s="16"/>
    </row>
    <row r="803" spans="1:25" s="42" customFormat="1" ht="15">
      <c r="A803" s="740"/>
      <c r="B803" s="288" t="s">
        <v>5526</v>
      </c>
      <c r="C803" s="164"/>
      <c r="D803" s="444"/>
      <c r="E803" s="647"/>
      <c r="H803" s="283"/>
      <c r="I803" s="283"/>
      <c r="K803" s="798">
        <v>30000</v>
      </c>
      <c r="L803" s="283"/>
      <c r="M803" s="283">
        <f t="shared" si="98"/>
        <v>30000</v>
      </c>
      <c r="N803" s="283"/>
      <c r="O803" s="815"/>
      <c r="P803" s="164"/>
      <c r="Q803" s="351">
        <v>30000</v>
      </c>
      <c r="R803" s="351">
        <v>30000</v>
      </c>
      <c r="S803" s="877"/>
      <c r="T803" s="933"/>
      <c r="U803" s="933"/>
      <c r="X803" s="16"/>
      <c r="Y803" s="16"/>
    </row>
    <row r="804" spans="1:25" s="42" customFormat="1" ht="15">
      <c r="A804" s="740"/>
      <c r="B804" s="851" t="s">
        <v>5527</v>
      </c>
      <c r="C804" s="164"/>
      <c r="D804" s="444"/>
      <c r="E804" s="647"/>
      <c r="H804" s="283"/>
      <c r="I804" s="283"/>
      <c r="K804" s="798">
        <v>35000</v>
      </c>
      <c r="L804" s="283"/>
      <c r="M804" s="283">
        <f t="shared" si="98"/>
        <v>35000</v>
      </c>
      <c r="N804" s="283"/>
      <c r="O804" s="815"/>
      <c r="P804" s="164"/>
      <c r="Q804" s="351">
        <v>35000</v>
      </c>
      <c r="R804" s="351">
        <v>35000</v>
      </c>
      <c r="S804" s="877"/>
      <c r="T804" s="933"/>
      <c r="U804" s="933"/>
      <c r="X804" s="16"/>
      <c r="Y804" s="16"/>
    </row>
    <row r="805" spans="1:25" s="42" customFormat="1" ht="15">
      <c r="A805" s="740"/>
      <c r="B805" s="1166" t="s">
        <v>5528</v>
      </c>
      <c r="C805" s="164"/>
      <c r="D805" s="444"/>
      <c r="E805" s="647"/>
      <c r="H805" s="283"/>
      <c r="I805" s="283"/>
      <c r="K805" s="1167">
        <v>900</v>
      </c>
      <c r="L805" s="283"/>
      <c r="M805" s="283">
        <f t="shared" si="98"/>
        <v>900</v>
      </c>
      <c r="N805" s="283"/>
      <c r="O805" s="815"/>
      <c r="P805" s="164"/>
      <c r="Q805" s="993">
        <v>900</v>
      </c>
      <c r="R805" s="993">
        <v>900</v>
      </c>
      <c r="S805" s="877"/>
      <c r="T805" s="933"/>
      <c r="U805" s="933"/>
      <c r="X805" s="16"/>
      <c r="Y805" s="16"/>
    </row>
    <row r="806" spans="1:25" s="42" customFormat="1" ht="15">
      <c r="A806" s="740"/>
      <c r="B806" s="42" t="s">
        <v>5529</v>
      </c>
      <c r="C806" s="164"/>
      <c r="D806" s="444"/>
      <c r="E806" s="647"/>
      <c r="H806" s="283"/>
      <c r="I806" s="283"/>
      <c r="K806" s="798">
        <v>1000</v>
      </c>
      <c r="L806" s="283"/>
      <c r="M806" s="283">
        <f t="shared" si="98"/>
        <v>1000</v>
      </c>
      <c r="N806" s="283"/>
      <c r="O806" s="815"/>
      <c r="P806" s="164"/>
      <c r="Q806" s="351">
        <v>1000</v>
      </c>
      <c r="R806" s="351">
        <v>1000</v>
      </c>
      <c r="S806" s="877"/>
      <c r="T806" s="933"/>
      <c r="U806" s="933"/>
      <c r="X806" s="16"/>
      <c r="Y806" s="16"/>
    </row>
    <row r="807" spans="1:25" s="42" customFormat="1" ht="15">
      <c r="A807" s="740"/>
      <c r="B807" s="42" t="s">
        <v>5530</v>
      </c>
      <c r="C807" s="164"/>
      <c r="D807" s="444"/>
      <c r="E807" s="647"/>
      <c r="H807" s="283"/>
      <c r="I807" s="283"/>
      <c r="K807" s="798">
        <v>600</v>
      </c>
      <c r="L807" s="283"/>
      <c r="M807" s="283">
        <f t="shared" si="98"/>
        <v>600</v>
      </c>
      <c r="N807" s="283"/>
      <c r="O807" s="815"/>
      <c r="P807" s="164"/>
      <c r="Q807" s="351">
        <v>600</v>
      </c>
      <c r="R807" s="351">
        <v>600</v>
      </c>
      <c r="S807" s="877"/>
      <c r="T807" s="933"/>
      <c r="U807" s="933"/>
      <c r="X807" s="16"/>
      <c r="Y807" s="16"/>
    </row>
    <row r="808" spans="1:25" s="42" customFormat="1" ht="15">
      <c r="A808" s="740"/>
      <c r="B808" s="288" t="s">
        <v>5531</v>
      </c>
      <c r="C808" s="164"/>
      <c r="D808" s="444"/>
      <c r="E808" s="647"/>
      <c r="H808" s="283"/>
      <c r="I808" s="283"/>
      <c r="K808" s="798">
        <v>15000</v>
      </c>
      <c r="L808" s="283"/>
      <c r="M808" s="283">
        <f t="shared" si="98"/>
        <v>15000</v>
      </c>
      <c r="N808" s="283"/>
      <c r="O808" s="815"/>
      <c r="P808" s="164"/>
      <c r="Q808" s="351">
        <v>15000</v>
      </c>
      <c r="R808" s="351">
        <v>15000</v>
      </c>
      <c r="S808" s="877"/>
      <c r="T808" s="933"/>
      <c r="U808" s="933"/>
      <c r="X808" s="16"/>
      <c r="Y808" s="16"/>
    </row>
    <row r="809" spans="1:25" s="42" customFormat="1" ht="15">
      <c r="A809" s="740"/>
      <c r="B809" s="851" t="s">
        <v>5532</v>
      </c>
      <c r="C809" s="164"/>
      <c r="D809" s="444"/>
      <c r="E809" s="647"/>
      <c r="H809" s="283"/>
      <c r="I809" s="283"/>
      <c r="K809" s="798"/>
      <c r="L809" s="283"/>
      <c r="M809" s="283">
        <f t="shared" si="98"/>
        <v>0</v>
      </c>
      <c r="N809" s="283"/>
      <c r="O809" s="815"/>
      <c r="P809" s="164"/>
      <c r="Q809" s="351"/>
      <c r="R809" s="351"/>
      <c r="S809" s="877"/>
      <c r="T809" s="933"/>
      <c r="U809" s="933"/>
      <c r="X809" s="16"/>
      <c r="Y809" s="16"/>
    </row>
    <row r="810" spans="1:25" s="42" customFormat="1" ht="15">
      <c r="A810" s="740"/>
      <c r="B810" s="1166" t="s">
        <v>5533</v>
      </c>
      <c r="C810" s="164"/>
      <c r="D810" s="444"/>
      <c r="E810" s="647"/>
      <c r="H810" s="283"/>
      <c r="I810" s="283"/>
      <c r="K810" s="1167">
        <v>800</v>
      </c>
      <c r="L810" s="283"/>
      <c r="M810" s="283">
        <f t="shared" si="98"/>
        <v>800</v>
      </c>
      <c r="N810" s="283"/>
      <c r="O810" s="815"/>
      <c r="P810" s="164"/>
      <c r="Q810" s="993">
        <v>800</v>
      </c>
      <c r="R810" s="993">
        <v>800</v>
      </c>
      <c r="S810" s="877"/>
      <c r="T810" s="933"/>
      <c r="U810" s="933"/>
      <c r="X810" s="16"/>
      <c r="Y810" s="16"/>
    </row>
    <row r="811" spans="1:25" s="42" customFormat="1" ht="15">
      <c r="A811" s="740"/>
      <c r="B811" s="1166" t="s">
        <v>5534</v>
      </c>
      <c r="C811" s="164"/>
      <c r="D811" s="444"/>
      <c r="E811" s="647"/>
      <c r="H811" s="283"/>
      <c r="I811" s="283"/>
      <c r="K811" s="798">
        <v>2000</v>
      </c>
      <c r="L811" s="283"/>
      <c r="M811" s="283">
        <f t="shared" si="98"/>
        <v>2000</v>
      </c>
      <c r="N811" s="283"/>
      <c r="O811" s="815"/>
      <c r="P811" s="164"/>
      <c r="Q811" s="351">
        <v>2000</v>
      </c>
      <c r="R811" s="351">
        <v>2000</v>
      </c>
      <c r="S811" s="877"/>
      <c r="T811" s="933"/>
      <c r="U811" s="933"/>
      <c r="X811" s="16"/>
      <c r="Y811" s="16"/>
    </row>
    <row r="812" spans="1:25" s="42" customFormat="1" ht="15">
      <c r="A812" s="740"/>
      <c r="B812" s="42" t="s">
        <v>5535</v>
      </c>
      <c r="C812" s="164"/>
      <c r="D812" s="444"/>
      <c r="E812" s="647"/>
      <c r="H812" s="283"/>
      <c r="I812" s="283"/>
      <c r="K812" s="798">
        <v>900</v>
      </c>
      <c r="L812" s="283"/>
      <c r="M812" s="283">
        <f t="shared" si="98"/>
        <v>900</v>
      </c>
      <c r="N812" s="283"/>
      <c r="O812" s="815"/>
      <c r="P812" s="164"/>
      <c r="Q812" s="351">
        <v>900</v>
      </c>
      <c r="R812" s="351">
        <v>900</v>
      </c>
      <c r="S812" s="877"/>
      <c r="T812" s="933"/>
      <c r="U812" s="933"/>
      <c r="X812" s="16"/>
      <c r="Y812" s="16"/>
    </row>
    <row r="813" spans="1:25" s="42" customFormat="1" ht="15">
      <c r="A813" s="740"/>
      <c r="B813" s="42" t="s">
        <v>5536</v>
      </c>
      <c r="C813" s="164"/>
      <c r="D813" s="444"/>
      <c r="E813" s="647"/>
      <c r="H813" s="283"/>
      <c r="I813" s="283"/>
      <c r="K813" s="798">
        <v>600</v>
      </c>
      <c r="L813" s="283"/>
      <c r="M813" s="283">
        <f t="shared" si="98"/>
        <v>600</v>
      </c>
      <c r="N813" s="283"/>
      <c r="O813" s="815"/>
      <c r="P813" s="164"/>
      <c r="Q813" s="351">
        <v>600</v>
      </c>
      <c r="R813" s="351">
        <v>600</v>
      </c>
      <c r="S813" s="877"/>
      <c r="T813" s="933"/>
      <c r="U813" s="933"/>
      <c r="X813" s="16"/>
      <c r="Y813" s="16"/>
    </row>
    <row r="814" spans="1:25" s="42" customFormat="1" ht="15">
      <c r="A814" s="740"/>
      <c r="B814" s="42" t="s">
        <v>5537</v>
      </c>
      <c r="C814" s="164"/>
      <c r="D814" s="444"/>
      <c r="E814" s="647"/>
      <c r="H814" s="283"/>
      <c r="I814" s="283"/>
      <c r="K814" s="798">
        <v>500</v>
      </c>
      <c r="L814" s="283"/>
      <c r="M814" s="283">
        <f t="shared" si="98"/>
        <v>500</v>
      </c>
      <c r="N814" s="283"/>
      <c r="O814" s="815"/>
      <c r="P814" s="164"/>
      <c r="Q814" s="351">
        <v>500</v>
      </c>
      <c r="R814" s="351">
        <v>500</v>
      </c>
      <c r="S814" s="877"/>
      <c r="T814" s="933"/>
      <c r="U814" s="933"/>
      <c r="X814" s="16"/>
      <c r="Y814" s="16"/>
    </row>
    <row r="815" spans="1:25" s="42" customFormat="1" ht="15">
      <c r="A815" s="740"/>
      <c r="B815" s="42" t="s">
        <v>5538</v>
      </c>
      <c r="C815" s="164"/>
      <c r="D815" s="444"/>
      <c r="E815" s="647"/>
      <c r="H815" s="283"/>
      <c r="I815" s="283"/>
      <c r="K815" s="798">
        <v>700</v>
      </c>
      <c r="L815" s="283"/>
      <c r="M815" s="283">
        <f t="shared" si="98"/>
        <v>700</v>
      </c>
      <c r="N815" s="283"/>
      <c r="O815" s="815"/>
      <c r="P815" s="164"/>
      <c r="Q815" s="351">
        <v>700</v>
      </c>
      <c r="R815" s="351">
        <v>700</v>
      </c>
      <c r="S815" s="877"/>
      <c r="T815" s="933"/>
      <c r="U815" s="933"/>
      <c r="X815" s="16"/>
      <c r="Y815" s="16"/>
    </row>
    <row r="816" spans="1:25" s="42" customFormat="1" ht="15">
      <c r="A816" s="740"/>
      <c r="B816" s="42" t="s">
        <v>5539</v>
      </c>
      <c r="C816" s="164"/>
      <c r="D816" s="444"/>
      <c r="E816" s="647"/>
      <c r="H816" s="283"/>
      <c r="I816" s="283"/>
      <c r="K816" s="798">
        <v>1000</v>
      </c>
      <c r="L816" s="283"/>
      <c r="M816" s="283">
        <f t="shared" si="98"/>
        <v>1000</v>
      </c>
      <c r="N816" s="283"/>
      <c r="O816" s="815"/>
      <c r="P816" s="164"/>
      <c r="Q816" s="351">
        <v>1000</v>
      </c>
      <c r="R816" s="351">
        <v>1000</v>
      </c>
      <c r="S816" s="877"/>
      <c r="T816" s="933"/>
      <c r="U816" s="933"/>
      <c r="X816" s="16"/>
      <c r="Y816" s="16"/>
    </row>
    <row r="817" spans="1:25" s="42" customFormat="1" ht="15">
      <c r="A817" s="740"/>
      <c r="B817" s="42" t="s">
        <v>5540</v>
      </c>
      <c r="C817" s="164"/>
      <c r="D817" s="444"/>
      <c r="E817" s="647"/>
      <c r="H817" s="283"/>
      <c r="I817" s="283"/>
      <c r="K817" s="798">
        <v>600</v>
      </c>
      <c r="L817" s="283"/>
      <c r="M817" s="283">
        <f t="shared" si="98"/>
        <v>600</v>
      </c>
      <c r="N817" s="283"/>
      <c r="O817" s="815"/>
      <c r="P817" s="164"/>
      <c r="Q817" s="351">
        <v>600</v>
      </c>
      <c r="R817" s="351">
        <v>600</v>
      </c>
      <c r="S817" s="877"/>
      <c r="T817" s="933"/>
      <c r="U817" s="933"/>
      <c r="X817" s="16"/>
      <c r="Y817" s="16"/>
    </row>
    <row r="818" spans="1:25" s="42" customFormat="1" ht="15">
      <c r="A818" s="740"/>
      <c r="B818" s="42" t="s">
        <v>5541</v>
      </c>
      <c r="C818" s="164"/>
      <c r="D818" s="444"/>
      <c r="E818" s="647"/>
      <c r="H818" s="283"/>
      <c r="I818" s="283"/>
      <c r="K818" s="798">
        <v>500</v>
      </c>
      <c r="L818" s="283"/>
      <c r="M818" s="283">
        <f t="shared" si="98"/>
        <v>500</v>
      </c>
      <c r="N818" s="283"/>
      <c r="O818" s="815"/>
      <c r="P818" s="164"/>
      <c r="Q818" s="351">
        <v>500</v>
      </c>
      <c r="R818" s="351">
        <v>500</v>
      </c>
      <c r="S818" s="877"/>
      <c r="T818" s="933"/>
      <c r="U818" s="933"/>
      <c r="X818" s="16"/>
      <c r="Y818" s="16"/>
    </row>
    <row r="819" spans="1:25" s="42" customFormat="1" ht="15">
      <c r="A819" s="740"/>
      <c r="B819" s="42" t="s">
        <v>5542</v>
      </c>
      <c r="C819" s="164"/>
      <c r="D819" s="444"/>
      <c r="E819" s="647"/>
      <c r="H819" s="283"/>
      <c r="I819" s="283"/>
      <c r="K819" s="798">
        <v>1000</v>
      </c>
      <c r="L819" s="283"/>
      <c r="M819" s="283">
        <f t="shared" si="98"/>
        <v>1000</v>
      </c>
      <c r="N819" s="283"/>
      <c r="O819" s="815"/>
      <c r="P819" s="164"/>
      <c r="Q819" s="351">
        <v>1000</v>
      </c>
      <c r="R819" s="351">
        <v>1000</v>
      </c>
      <c r="S819" s="877"/>
      <c r="T819" s="933"/>
      <c r="U819" s="933"/>
      <c r="X819" s="16"/>
      <c r="Y819" s="16"/>
    </row>
    <row r="820" spans="1:25" s="42" customFormat="1" ht="15">
      <c r="A820" s="740"/>
      <c r="B820" s="42" t="s">
        <v>5543</v>
      </c>
      <c r="C820" s="164"/>
      <c r="D820" s="444"/>
      <c r="E820" s="647"/>
      <c r="H820" s="283"/>
      <c r="I820" s="283"/>
      <c r="K820" s="798">
        <v>700</v>
      </c>
      <c r="L820" s="283"/>
      <c r="M820" s="283">
        <f t="shared" si="98"/>
        <v>700</v>
      </c>
      <c r="N820" s="283"/>
      <c r="O820" s="815"/>
      <c r="P820" s="164"/>
      <c r="Q820" s="351">
        <v>700</v>
      </c>
      <c r="R820" s="351">
        <v>700</v>
      </c>
      <c r="S820" s="877"/>
      <c r="T820" s="933"/>
      <c r="U820" s="933"/>
      <c r="X820" s="16"/>
      <c r="Y820" s="16"/>
    </row>
    <row r="821" spans="1:25" s="42" customFormat="1" ht="15">
      <c r="A821" s="740"/>
      <c r="B821" s="42" t="s">
        <v>5544</v>
      </c>
      <c r="C821" s="164"/>
      <c r="D821" s="444"/>
      <c r="E821" s="647"/>
      <c r="H821" s="283"/>
      <c r="I821" s="283"/>
      <c r="K821" s="798">
        <v>800</v>
      </c>
      <c r="L821" s="283"/>
      <c r="M821" s="283">
        <f t="shared" si="98"/>
        <v>800</v>
      </c>
      <c r="N821" s="283"/>
      <c r="O821" s="815"/>
      <c r="P821" s="164"/>
      <c r="Q821" s="351">
        <v>800</v>
      </c>
      <c r="R821" s="351">
        <v>800</v>
      </c>
      <c r="S821" s="877"/>
      <c r="T821" s="933"/>
      <c r="U821" s="933"/>
      <c r="X821" s="16"/>
      <c r="Y821" s="16"/>
    </row>
    <row r="822" spans="1:25" s="42" customFormat="1" ht="15">
      <c r="A822" s="740"/>
      <c r="B822" s="851" t="s">
        <v>5545</v>
      </c>
      <c r="C822" s="164"/>
      <c r="D822" s="444"/>
      <c r="E822" s="647"/>
      <c r="H822" s="283"/>
      <c r="I822" s="283"/>
      <c r="K822" s="798"/>
      <c r="L822" s="283"/>
      <c r="M822" s="283">
        <f t="shared" si="98"/>
        <v>0</v>
      </c>
      <c r="N822" s="283"/>
      <c r="O822" s="815"/>
      <c r="P822" s="164"/>
      <c r="Q822" s="351"/>
      <c r="R822" s="351"/>
      <c r="S822" s="877"/>
      <c r="T822" s="933"/>
      <c r="U822" s="933"/>
      <c r="X822" s="16"/>
      <c r="Y822" s="16"/>
    </row>
    <row r="823" spans="1:25" s="42" customFormat="1" ht="15">
      <c r="A823" s="740"/>
      <c r="B823" s="1166" t="s">
        <v>5546</v>
      </c>
      <c r="C823" s="164"/>
      <c r="D823" s="444"/>
      <c r="E823" s="647"/>
      <c r="H823" s="283"/>
      <c r="I823" s="283"/>
      <c r="K823" s="1167">
        <v>500</v>
      </c>
      <c r="L823" s="283"/>
      <c r="M823" s="283">
        <f t="shared" si="98"/>
        <v>500</v>
      </c>
      <c r="N823" s="283"/>
      <c r="O823" s="815"/>
      <c r="P823" s="164"/>
      <c r="Q823" s="993">
        <v>500</v>
      </c>
      <c r="R823" s="993">
        <v>500</v>
      </c>
      <c r="S823" s="877"/>
      <c r="T823" s="933"/>
      <c r="U823" s="933"/>
      <c r="X823" s="16"/>
      <c r="Y823" s="16"/>
    </row>
    <row r="824" spans="1:25" s="42" customFormat="1" ht="15">
      <c r="A824" s="740"/>
      <c r="B824" s="1166" t="s">
        <v>5547</v>
      </c>
      <c r="C824" s="164"/>
      <c r="D824" s="444"/>
      <c r="E824" s="647"/>
      <c r="H824" s="283"/>
      <c r="I824" s="283"/>
      <c r="K824" s="798">
        <v>1000</v>
      </c>
      <c r="L824" s="283"/>
      <c r="M824" s="283">
        <f t="shared" si="98"/>
        <v>1000</v>
      </c>
      <c r="N824" s="283"/>
      <c r="O824" s="815"/>
      <c r="P824" s="164"/>
      <c r="Q824" s="351">
        <v>1000</v>
      </c>
      <c r="R824" s="351">
        <v>1000</v>
      </c>
      <c r="S824" s="877"/>
      <c r="T824" s="933"/>
      <c r="U824" s="933"/>
      <c r="X824" s="16"/>
      <c r="Y824" s="16"/>
    </row>
    <row r="825" spans="1:25" s="42" customFormat="1" ht="15">
      <c r="A825" s="740"/>
      <c r="B825" s="42" t="s">
        <v>5548</v>
      </c>
      <c r="C825" s="164"/>
      <c r="D825" s="444"/>
      <c r="E825" s="647"/>
      <c r="H825" s="283"/>
      <c r="I825" s="283"/>
      <c r="K825" s="798">
        <v>700</v>
      </c>
      <c r="L825" s="283"/>
      <c r="M825" s="283">
        <f t="shared" si="98"/>
        <v>700</v>
      </c>
      <c r="N825" s="283"/>
      <c r="O825" s="815"/>
      <c r="P825" s="164"/>
      <c r="Q825" s="351">
        <v>700</v>
      </c>
      <c r="R825" s="351">
        <v>700</v>
      </c>
      <c r="S825" s="877"/>
      <c r="T825" s="933"/>
      <c r="U825" s="933"/>
      <c r="X825" s="16"/>
      <c r="Y825" s="16"/>
    </row>
    <row r="826" spans="1:25" s="42" customFormat="1" ht="15">
      <c r="A826" s="740"/>
      <c r="B826" s="42" t="s">
        <v>5549</v>
      </c>
      <c r="C826" s="164"/>
      <c r="D826" s="444"/>
      <c r="E826" s="647"/>
      <c r="H826" s="283"/>
      <c r="I826" s="283"/>
      <c r="K826" s="798">
        <v>800</v>
      </c>
      <c r="L826" s="283"/>
      <c r="M826" s="283">
        <f t="shared" si="98"/>
        <v>800</v>
      </c>
      <c r="N826" s="283"/>
      <c r="O826" s="815"/>
      <c r="P826" s="164"/>
      <c r="Q826" s="351">
        <v>800</v>
      </c>
      <c r="R826" s="351">
        <v>800</v>
      </c>
      <c r="S826" s="877"/>
      <c r="T826" s="933"/>
      <c r="U826" s="933"/>
      <c r="X826" s="16"/>
      <c r="Y826" s="16"/>
    </row>
    <row r="827" spans="1:25" s="42" customFormat="1" ht="15">
      <c r="A827" s="740"/>
      <c r="B827" s="42" t="s">
        <v>5550</v>
      </c>
      <c r="C827" s="164"/>
      <c r="D827" s="444"/>
      <c r="E827" s="647"/>
      <c r="H827" s="283"/>
      <c r="I827" s="283"/>
      <c r="K827" s="798">
        <v>1000</v>
      </c>
      <c r="L827" s="283"/>
      <c r="M827" s="283">
        <f t="shared" si="98"/>
        <v>1000</v>
      </c>
      <c r="N827" s="283"/>
      <c r="O827" s="815"/>
      <c r="P827" s="164"/>
      <c r="Q827" s="351">
        <v>1000</v>
      </c>
      <c r="R827" s="351">
        <v>1000</v>
      </c>
      <c r="S827" s="877"/>
      <c r="T827" s="933"/>
      <c r="U827" s="933"/>
      <c r="X827" s="16"/>
      <c r="Y827" s="16"/>
    </row>
    <row r="828" spans="1:25" s="42" customFormat="1" ht="15">
      <c r="A828" s="740"/>
      <c r="B828" s="42" t="s">
        <v>5551</v>
      </c>
      <c r="C828" s="164"/>
      <c r="D828" s="444"/>
      <c r="E828" s="647"/>
      <c r="H828" s="283"/>
      <c r="I828" s="283"/>
      <c r="K828" s="798">
        <v>1000</v>
      </c>
      <c r="L828" s="283"/>
      <c r="M828" s="283">
        <f t="shared" si="98"/>
        <v>1000</v>
      </c>
      <c r="N828" s="283"/>
      <c r="O828" s="815"/>
      <c r="P828" s="164"/>
      <c r="Q828" s="351">
        <v>1000</v>
      </c>
      <c r="R828" s="351">
        <v>1000</v>
      </c>
      <c r="S828" s="877"/>
      <c r="T828" s="933"/>
      <c r="U828" s="933"/>
      <c r="X828" s="16"/>
      <c r="Y828" s="16"/>
    </row>
    <row r="829" spans="1:25" s="42" customFormat="1" ht="15">
      <c r="A829" s="740"/>
      <c r="B829" s="42" t="s">
        <v>5552</v>
      </c>
      <c r="C829" s="164"/>
      <c r="D829" s="444"/>
      <c r="E829" s="647"/>
      <c r="H829" s="283"/>
      <c r="I829" s="283"/>
      <c r="K829" s="798">
        <v>2000</v>
      </c>
      <c r="L829" s="283"/>
      <c r="M829" s="283">
        <f t="shared" si="98"/>
        <v>2000</v>
      </c>
      <c r="N829" s="283"/>
      <c r="O829" s="815"/>
      <c r="P829" s="164"/>
      <c r="Q829" s="351">
        <v>2000</v>
      </c>
      <c r="R829" s="351">
        <v>2000</v>
      </c>
      <c r="S829" s="877"/>
      <c r="T829" s="933"/>
      <c r="U829" s="933"/>
      <c r="X829" s="16"/>
      <c r="Y829" s="16"/>
    </row>
    <row r="830" spans="1:25" s="42" customFormat="1" ht="15">
      <c r="A830" s="740"/>
      <c r="B830" s="42" t="s">
        <v>5553</v>
      </c>
      <c r="C830" s="164"/>
      <c r="D830" s="444"/>
      <c r="E830" s="647"/>
      <c r="H830" s="283"/>
      <c r="I830" s="283"/>
      <c r="K830" s="798">
        <v>1000</v>
      </c>
      <c r="L830" s="283"/>
      <c r="M830" s="283">
        <f t="shared" si="98"/>
        <v>1000</v>
      </c>
      <c r="N830" s="283"/>
      <c r="O830" s="815"/>
      <c r="P830" s="164"/>
      <c r="Q830" s="351">
        <v>1000</v>
      </c>
      <c r="R830" s="351">
        <v>1000</v>
      </c>
      <c r="S830" s="877"/>
      <c r="T830" s="933"/>
      <c r="U830" s="933"/>
      <c r="X830" s="16"/>
      <c r="Y830" s="16"/>
    </row>
    <row r="831" spans="1:25" s="42" customFormat="1" ht="15">
      <c r="A831" s="740"/>
      <c r="B831" s="42" t="s">
        <v>5554</v>
      </c>
      <c r="C831" s="164"/>
      <c r="D831" s="444"/>
      <c r="E831" s="647"/>
      <c r="H831" s="283"/>
      <c r="I831" s="283"/>
      <c r="K831" s="798">
        <v>1000</v>
      </c>
      <c r="L831" s="283"/>
      <c r="M831" s="283">
        <f t="shared" si="98"/>
        <v>1000</v>
      </c>
      <c r="N831" s="283"/>
      <c r="O831" s="815"/>
      <c r="P831" s="164"/>
      <c r="Q831" s="351">
        <v>1000</v>
      </c>
      <c r="R831" s="351">
        <v>1000</v>
      </c>
      <c r="S831" s="877"/>
      <c r="T831" s="933"/>
      <c r="U831" s="933"/>
      <c r="X831" s="16"/>
      <c r="Y831" s="16"/>
    </row>
    <row r="832" spans="1:25" s="42" customFormat="1" ht="15">
      <c r="A832" s="740"/>
      <c r="B832" s="42" t="s">
        <v>5555</v>
      </c>
      <c r="C832" s="164"/>
      <c r="D832" s="444"/>
      <c r="E832" s="647"/>
      <c r="H832" s="283"/>
      <c r="I832" s="283"/>
      <c r="K832" s="798">
        <v>400</v>
      </c>
      <c r="L832" s="283"/>
      <c r="M832" s="283">
        <f t="shared" si="98"/>
        <v>400</v>
      </c>
      <c r="N832" s="283"/>
      <c r="O832" s="815"/>
      <c r="P832" s="164"/>
      <c r="Q832" s="351">
        <v>400</v>
      </c>
      <c r="R832" s="351">
        <v>400</v>
      </c>
      <c r="S832" s="877"/>
      <c r="T832" s="933"/>
      <c r="U832" s="933"/>
      <c r="X832" s="16"/>
      <c r="Y832" s="16"/>
    </row>
    <row r="833" spans="1:25" s="42" customFormat="1" ht="15">
      <c r="A833" s="740"/>
      <c r="B833" s="42" t="s">
        <v>5556</v>
      </c>
      <c r="C833" s="164"/>
      <c r="D833" s="444"/>
      <c r="E833" s="647"/>
      <c r="H833" s="283"/>
      <c r="I833" s="283"/>
      <c r="K833" s="798">
        <v>1000</v>
      </c>
      <c r="L833" s="283"/>
      <c r="M833" s="283">
        <f t="shared" si="98"/>
        <v>1000</v>
      </c>
      <c r="N833" s="283"/>
      <c r="O833" s="815"/>
      <c r="P833" s="164"/>
      <c r="Q833" s="351">
        <v>1000</v>
      </c>
      <c r="R833" s="351">
        <v>1000</v>
      </c>
      <c r="S833" s="877"/>
      <c r="T833" s="933"/>
      <c r="U833" s="933"/>
      <c r="X833" s="16"/>
      <c r="Y833" s="16"/>
    </row>
    <row r="834" spans="1:25" s="42" customFormat="1" ht="15">
      <c r="A834" s="740"/>
      <c r="B834" s="42" t="s">
        <v>5557</v>
      </c>
      <c r="C834" s="164"/>
      <c r="D834" s="444"/>
      <c r="E834" s="647"/>
      <c r="H834" s="283"/>
      <c r="I834" s="283"/>
      <c r="K834" s="798">
        <v>900</v>
      </c>
      <c r="L834" s="283"/>
      <c r="M834" s="283">
        <f t="shared" si="98"/>
        <v>900</v>
      </c>
      <c r="N834" s="283"/>
      <c r="O834" s="815"/>
      <c r="P834" s="164"/>
      <c r="Q834" s="351">
        <v>900</v>
      </c>
      <c r="R834" s="351">
        <v>900</v>
      </c>
      <c r="S834" s="877"/>
      <c r="T834" s="933"/>
      <c r="U834" s="933"/>
      <c r="X834" s="16"/>
      <c r="Y834" s="16"/>
    </row>
    <row r="835" spans="1:25" s="42" customFormat="1" ht="15">
      <c r="A835" s="740"/>
      <c r="B835" s="42" t="s">
        <v>5558</v>
      </c>
      <c r="C835" s="164"/>
      <c r="D835" s="444"/>
      <c r="E835" s="647"/>
      <c r="H835" s="283"/>
      <c r="I835" s="283"/>
      <c r="K835" s="798">
        <v>700</v>
      </c>
      <c r="L835" s="283"/>
      <c r="M835" s="283">
        <f t="shared" si="98"/>
        <v>700</v>
      </c>
      <c r="N835" s="283"/>
      <c r="O835" s="815"/>
      <c r="P835" s="164"/>
      <c r="Q835" s="351">
        <v>700</v>
      </c>
      <c r="R835" s="351">
        <v>700</v>
      </c>
      <c r="S835" s="877"/>
      <c r="T835" s="933"/>
      <c r="U835" s="933"/>
      <c r="X835" s="16"/>
      <c r="Y835" s="16"/>
    </row>
    <row r="836" spans="1:25" s="42" customFormat="1" ht="15">
      <c r="A836" s="740"/>
      <c r="B836" s="42" t="s">
        <v>5559</v>
      </c>
      <c r="C836" s="164"/>
      <c r="D836" s="444"/>
      <c r="E836" s="647"/>
      <c r="H836" s="283"/>
      <c r="I836" s="283"/>
      <c r="K836" s="798">
        <v>1000</v>
      </c>
      <c r="L836" s="283"/>
      <c r="M836" s="283">
        <f t="shared" si="98"/>
        <v>1000</v>
      </c>
      <c r="N836" s="283"/>
      <c r="O836" s="815"/>
      <c r="P836" s="164"/>
      <c r="Q836" s="351">
        <v>1000</v>
      </c>
      <c r="R836" s="351">
        <v>1000</v>
      </c>
      <c r="S836" s="877"/>
      <c r="T836" s="933"/>
      <c r="U836" s="933"/>
      <c r="X836" s="16"/>
      <c r="Y836" s="16"/>
    </row>
    <row r="837" spans="1:25" s="42" customFormat="1" ht="15">
      <c r="A837" s="740"/>
      <c r="B837" s="42" t="s">
        <v>5560</v>
      </c>
      <c r="C837" s="164"/>
      <c r="D837" s="444"/>
      <c r="E837" s="647"/>
      <c r="H837" s="283"/>
      <c r="I837" s="283"/>
      <c r="K837" s="798">
        <v>1000</v>
      </c>
      <c r="L837" s="283"/>
      <c r="M837" s="283">
        <f t="shared" si="98"/>
        <v>1000</v>
      </c>
      <c r="N837" s="283"/>
      <c r="O837" s="815"/>
      <c r="P837" s="164"/>
      <c r="Q837" s="351">
        <v>1000</v>
      </c>
      <c r="R837" s="351">
        <v>1000</v>
      </c>
      <c r="S837" s="877"/>
      <c r="T837" s="933"/>
      <c r="U837" s="933"/>
      <c r="X837" s="16"/>
      <c r="Y837" s="16"/>
    </row>
    <row r="838" spans="1:25" s="42" customFormat="1" ht="15">
      <c r="A838" s="740"/>
      <c r="B838" s="288" t="s">
        <v>5561</v>
      </c>
      <c r="C838" s="164"/>
      <c r="D838" s="444"/>
      <c r="E838" s="647"/>
      <c r="H838" s="283"/>
      <c r="I838" s="283"/>
      <c r="K838" s="798">
        <v>600</v>
      </c>
      <c r="L838" s="283"/>
      <c r="M838" s="283">
        <f t="shared" si="98"/>
        <v>600</v>
      </c>
      <c r="N838" s="283"/>
      <c r="O838" s="815"/>
      <c r="P838" s="164"/>
      <c r="Q838" s="351">
        <v>600</v>
      </c>
      <c r="R838" s="351">
        <v>600</v>
      </c>
      <c r="S838" s="877"/>
      <c r="T838" s="933"/>
      <c r="U838" s="933"/>
      <c r="X838" s="16"/>
      <c r="Y838" s="16"/>
    </row>
    <row r="839" spans="1:25" s="42" customFormat="1" ht="15">
      <c r="A839" s="740"/>
      <c r="B839" s="852" t="s">
        <v>5562</v>
      </c>
      <c r="C839" s="164"/>
      <c r="D839" s="444"/>
      <c r="E839" s="647"/>
      <c r="H839" s="283"/>
      <c r="I839" s="283"/>
      <c r="K839" s="798">
        <v>1000</v>
      </c>
      <c r="L839" s="283"/>
      <c r="M839" s="283">
        <f t="shared" si="98"/>
        <v>1000</v>
      </c>
      <c r="N839" s="283"/>
      <c r="O839" s="815"/>
      <c r="P839" s="164"/>
      <c r="Q839" s="351">
        <v>1000</v>
      </c>
      <c r="R839" s="351">
        <v>1000</v>
      </c>
      <c r="S839" s="877"/>
      <c r="T839" s="933"/>
      <c r="U839" s="933"/>
      <c r="X839" s="16"/>
      <c r="Y839" s="16"/>
    </row>
    <row r="840" spans="1:25" s="42" customFormat="1" ht="15">
      <c r="A840" s="740"/>
      <c r="B840" s="42" t="s">
        <v>5563</v>
      </c>
      <c r="C840" s="164"/>
      <c r="D840" s="444"/>
      <c r="E840" s="647"/>
      <c r="H840" s="283"/>
      <c r="I840" s="283"/>
      <c r="K840" s="798">
        <v>700</v>
      </c>
      <c r="L840" s="283"/>
      <c r="M840" s="283">
        <f t="shared" si="98"/>
        <v>700</v>
      </c>
      <c r="N840" s="283"/>
      <c r="O840" s="815"/>
      <c r="P840" s="164"/>
      <c r="Q840" s="351">
        <v>700</v>
      </c>
      <c r="R840" s="351">
        <v>700</v>
      </c>
      <c r="S840" s="877"/>
      <c r="T840" s="933"/>
      <c r="U840" s="933"/>
      <c r="X840" s="16"/>
      <c r="Y840" s="16"/>
    </row>
    <row r="841" spans="1:25" s="42" customFormat="1" ht="15">
      <c r="A841" s="740"/>
      <c r="B841" s="288" t="s">
        <v>5564</v>
      </c>
      <c r="C841" s="164"/>
      <c r="D841" s="444"/>
      <c r="E841" s="647"/>
      <c r="H841" s="283"/>
      <c r="I841" s="283"/>
      <c r="K841" s="798">
        <v>600</v>
      </c>
      <c r="L841" s="283"/>
      <c r="M841" s="283">
        <f t="shared" si="98"/>
        <v>600</v>
      </c>
      <c r="N841" s="283"/>
      <c r="O841" s="815"/>
      <c r="P841" s="164"/>
      <c r="Q841" s="351">
        <v>600</v>
      </c>
      <c r="R841" s="351">
        <v>600</v>
      </c>
      <c r="S841" s="877"/>
      <c r="T841" s="933"/>
      <c r="U841" s="933"/>
      <c r="X841" s="16"/>
      <c r="Y841" s="16"/>
    </row>
    <row r="842" spans="1:25" s="42" customFormat="1" ht="15">
      <c r="A842" s="740"/>
      <c r="B842" s="852" t="s">
        <v>5565</v>
      </c>
      <c r="C842" s="164"/>
      <c r="D842" s="444"/>
      <c r="E842" s="647"/>
      <c r="H842" s="283"/>
      <c r="I842" s="283"/>
      <c r="K842" s="798">
        <v>400</v>
      </c>
      <c r="L842" s="283"/>
      <c r="M842" s="283">
        <f t="shared" si="98"/>
        <v>400</v>
      </c>
      <c r="N842" s="283"/>
      <c r="O842" s="815"/>
      <c r="P842" s="164"/>
      <c r="Q842" s="351">
        <v>400</v>
      </c>
      <c r="R842" s="351">
        <v>400</v>
      </c>
      <c r="S842" s="877"/>
      <c r="T842" s="933"/>
      <c r="U842" s="933"/>
      <c r="X842" s="16"/>
      <c r="Y842" s="16"/>
    </row>
    <row r="843" spans="1:25" s="42" customFormat="1" ht="15">
      <c r="A843" s="740"/>
      <c r="B843" s="852" t="s">
        <v>5566</v>
      </c>
      <c r="C843" s="164"/>
      <c r="D843" s="444"/>
      <c r="E843" s="647"/>
      <c r="H843" s="283"/>
      <c r="I843" s="283"/>
      <c r="K843" s="798">
        <v>400</v>
      </c>
      <c r="L843" s="283"/>
      <c r="M843" s="283">
        <f t="shared" si="98"/>
        <v>400</v>
      </c>
      <c r="N843" s="283"/>
      <c r="O843" s="815"/>
      <c r="P843" s="164"/>
      <c r="Q843" s="351">
        <v>400</v>
      </c>
      <c r="R843" s="351">
        <v>400</v>
      </c>
      <c r="S843" s="877"/>
      <c r="T843" s="933"/>
      <c r="U843" s="933"/>
      <c r="X843" s="16"/>
      <c r="Y843" s="16"/>
    </row>
    <row r="844" spans="1:25" s="42" customFormat="1" ht="15">
      <c r="A844" s="740"/>
      <c r="B844" s="852" t="s">
        <v>5567</v>
      </c>
      <c r="C844" s="164"/>
      <c r="D844" s="444"/>
      <c r="E844" s="647"/>
      <c r="H844" s="283"/>
      <c r="I844" s="283"/>
      <c r="K844" s="798">
        <v>900</v>
      </c>
      <c r="L844" s="283"/>
      <c r="M844" s="283">
        <f t="shared" si="98"/>
        <v>900</v>
      </c>
      <c r="N844" s="283"/>
      <c r="O844" s="815"/>
      <c r="P844" s="164"/>
      <c r="Q844" s="351">
        <v>900</v>
      </c>
      <c r="R844" s="351">
        <v>900</v>
      </c>
      <c r="S844" s="877"/>
      <c r="T844" s="933"/>
      <c r="U844" s="933"/>
      <c r="X844" s="16"/>
      <c r="Y844" s="16"/>
    </row>
    <row r="845" spans="1:25" s="42" customFormat="1" ht="15">
      <c r="A845" s="740"/>
      <c r="B845" s="852" t="s">
        <v>5568</v>
      </c>
      <c r="C845" s="164"/>
      <c r="D845" s="444"/>
      <c r="E845" s="647"/>
      <c r="H845" s="283"/>
      <c r="I845" s="283"/>
      <c r="K845" s="798">
        <v>1000</v>
      </c>
      <c r="L845" s="283"/>
      <c r="M845" s="283">
        <f t="shared" si="98"/>
        <v>1000</v>
      </c>
      <c r="N845" s="283"/>
      <c r="O845" s="815"/>
      <c r="P845" s="164"/>
      <c r="Q845" s="351">
        <v>1000</v>
      </c>
      <c r="R845" s="351">
        <v>1000</v>
      </c>
      <c r="S845" s="877"/>
      <c r="T845" s="933"/>
      <c r="U845" s="933"/>
      <c r="X845" s="16"/>
      <c r="Y845" s="16"/>
    </row>
    <row r="846" spans="1:25" s="42" customFormat="1" ht="15">
      <c r="A846" s="740"/>
      <c r="B846" s="852" t="s">
        <v>5569</v>
      </c>
      <c r="C846" s="164"/>
      <c r="D846" s="444"/>
      <c r="E846" s="647"/>
      <c r="H846" s="283"/>
      <c r="I846" s="283"/>
      <c r="K846" s="798">
        <v>500</v>
      </c>
      <c r="L846" s="283"/>
      <c r="M846" s="283">
        <f t="shared" si="98"/>
        <v>500</v>
      </c>
      <c r="N846" s="283"/>
      <c r="O846" s="815"/>
      <c r="P846" s="164"/>
      <c r="Q846" s="351">
        <v>500</v>
      </c>
      <c r="R846" s="351">
        <v>500</v>
      </c>
      <c r="S846" s="877"/>
      <c r="T846" s="933"/>
      <c r="U846" s="933"/>
      <c r="X846" s="16"/>
      <c r="Y846" s="16"/>
    </row>
    <row r="847" spans="1:25" s="42" customFormat="1" ht="15">
      <c r="A847" s="740"/>
      <c r="B847" s="852" t="s">
        <v>5570</v>
      </c>
      <c r="C847" s="164"/>
      <c r="D847" s="444"/>
      <c r="E847" s="647"/>
      <c r="H847" s="283"/>
      <c r="I847" s="283"/>
      <c r="K847" s="798">
        <v>700</v>
      </c>
      <c r="L847" s="283"/>
      <c r="M847" s="283">
        <f t="shared" si="98"/>
        <v>700</v>
      </c>
      <c r="N847" s="283"/>
      <c r="O847" s="815"/>
      <c r="P847" s="164"/>
      <c r="Q847" s="351">
        <v>700</v>
      </c>
      <c r="R847" s="351">
        <v>700</v>
      </c>
      <c r="S847" s="877"/>
      <c r="T847" s="933"/>
      <c r="U847" s="933"/>
      <c r="X847" s="16"/>
      <c r="Y847" s="16"/>
    </row>
    <row r="848" spans="1:25" s="42" customFormat="1" ht="15">
      <c r="A848" s="740"/>
      <c r="B848" s="852" t="s">
        <v>5571</v>
      </c>
      <c r="C848" s="164"/>
      <c r="D848" s="444"/>
      <c r="E848" s="647"/>
      <c r="H848" s="283"/>
      <c r="I848" s="283"/>
      <c r="K848" s="798">
        <v>1000</v>
      </c>
      <c r="L848" s="283"/>
      <c r="M848" s="283">
        <f t="shared" si="98"/>
        <v>1000</v>
      </c>
      <c r="N848" s="283"/>
      <c r="O848" s="815"/>
      <c r="P848" s="164"/>
      <c r="Q848" s="351">
        <v>1000</v>
      </c>
      <c r="R848" s="351">
        <v>1000</v>
      </c>
      <c r="S848" s="877"/>
      <c r="T848" s="933"/>
      <c r="U848" s="933"/>
      <c r="X848" s="16"/>
      <c r="Y848" s="16"/>
    </row>
    <row r="849" spans="1:25" s="42" customFormat="1" ht="15">
      <c r="A849" s="740"/>
      <c r="B849" s="852" t="s">
        <v>5572</v>
      </c>
      <c r="C849" s="164"/>
      <c r="D849" s="444"/>
      <c r="E849" s="647"/>
      <c r="H849" s="283"/>
      <c r="I849" s="283"/>
      <c r="K849" s="798">
        <v>1000</v>
      </c>
      <c r="L849" s="283"/>
      <c r="M849" s="283">
        <f t="shared" si="98"/>
        <v>1000</v>
      </c>
      <c r="N849" s="283"/>
      <c r="O849" s="815"/>
      <c r="P849" s="164"/>
      <c r="Q849" s="351">
        <v>1000</v>
      </c>
      <c r="R849" s="351">
        <v>1000</v>
      </c>
      <c r="S849" s="877"/>
      <c r="T849" s="933"/>
      <c r="U849" s="933"/>
      <c r="X849" s="16"/>
      <c r="Y849" s="16"/>
    </row>
    <row r="850" spans="1:25" s="42" customFormat="1" ht="15">
      <c r="A850" s="740"/>
      <c r="B850" s="852" t="s">
        <v>5573</v>
      </c>
      <c r="C850" s="164"/>
      <c r="D850" s="444"/>
      <c r="E850" s="647"/>
      <c r="H850" s="283"/>
      <c r="I850" s="283"/>
      <c r="K850" s="798">
        <v>1000</v>
      </c>
      <c r="L850" s="283"/>
      <c r="M850" s="283">
        <f t="shared" si="98"/>
        <v>1000</v>
      </c>
      <c r="N850" s="283"/>
      <c r="O850" s="815"/>
      <c r="P850" s="164"/>
      <c r="Q850" s="351">
        <v>1000</v>
      </c>
      <c r="R850" s="351">
        <v>1000</v>
      </c>
      <c r="S850" s="877"/>
      <c r="T850" s="933"/>
      <c r="U850" s="933"/>
      <c r="X850" s="16"/>
      <c r="Y850" s="16"/>
    </row>
    <row r="851" spans="1:25" s="42" customFormat="1" ht="15">
      <c r="A851" s="740"/>
      <c r="B851" s="852" t="s">
        <v>5574</v>
      </c>
      <c r="C851" s="164"/>
      <c r="D851" s="444"/>
      <c r="E851" s="647"/>
      <c r="H851" s="283"/>
      <c r="I851" s="283"/>
      <c r="K851" s="798">
        <v>1000</v>
      </c>
      <c r="L851" s="283"/>
      <c r="M851" s="283">
        <f t="shared" si="98"/>
        <v>1000</v>
      </c>
      <c r="N851" s="283"/>
      <c r="O851" s="815"/>
      <c r="P851" s="164"/>
      <c r="Q851" s="351">
        <v>1000</v>
      </c>
      <c r="R851" s="351">
        <v>1000</v>
      </c>
      <c r="S851" s="877"/>
      <c r="T851" s="933"/>
      <c r="U851" s="933"/>
      <c r="X851" s="16"/>
      <c r="Y851" s="16"/>
    </row>
    <row r="852" spans="1:25" s="42" customFormat="1" ht="15">
      <c r="A852" s="740"/>
      <c r="B852" s="852" t="s">
        <v>5575</v>
      </c>
      <c r="C852" s="164"/>
      <c r="D852" s="444"/>
      <c r="E852" s="647"/>
      <c r="H852" s="283"/>
      <c r="I852" s="283"/>
      <c r="K852" s="798">
        <v>1000</v>
      </c>
      <c r="L852" s="283"/>
      <c r="M852" s="283">
        <f t="shared" si="98"/>
        <v>1000</v>
      </c>
      <c r="N852" s="283"/>
      <c r="O852" s="815"/>
      <c r="P852" s="164"/>
      <c r="Q852" s="351">
        <v>1000</v>
      </c>
      <c r="R852" s="351">
        <v>1000</v>
      </c>
      <c r="S852" s="877"/>
      <c r="T852" s="933"/>
      <c r="U852" s="933"/>
      <c r="X852" s="16"/>
      <c r="Y852" s="16"/>
    </row>
    <row r="853" spans="1:25" s="42" customFormat="1" ht="15">
      <c r="A853" s="740"/>
      <c r="B853" s="851" t="s">
        <v>5576</v>
      </c>
      <c r="C853" s="164"/>
      <c r="D853" s="444"/>
      <c r="E853" s="647"/>
      <c r="H853" s="283"/>
      <c r="I853" s="283"/>
      <c r="K853" s="798"/>
      <c r="L853" s="283"/>
      <c r="M853" s="283">
        <f t="shared" si="98"/>
        <v>0</v>
      </c>
      <c r="N853" s="283"/>
      <c r="O853" s="815"/>
      <c r="P853" s="164"/>
      <c r="Q853" s="351"/>
      <c r="R853" s="351"/>
      <c r="S853" s="877"/>
      <c r="T853" s="933"/>
      <c r="U853" s="933"/>
      <c r="X853" s="16"/>
      <c r="Y853" s="16"/>
    </row>
    <row r="854" spans="1:25" s="42" customFormat="1" ht="15">
      <c r="A854" s="740"/>
      <c r="B854" s="288" t="s">
        <v>5577</v>
      </c>
      <c r="C854" s="164"/>
      <c r="D854" s="444"/>
      <c r="E854" s="647"/>
      <c r="H854" s="283"/>
      <c r="I854" s="283"/>
      <c r="K854" s="798">
        <v>50000</v>
      </c>
      <c r="L854" s="283"/>
      <c r="M854" s="283">
        <f t="shared" si="98"/>
        <v>50000</v>
      </c>
      <c r="N854" s="283"/>
      <c r="O854" s="815"/>
      <c r="P854" s="164"/>
      <c r="Q854" s="351">
        <v>50000</v>
      </c>
      <c r="R854" s="351">
        <v>50000</v>
      </c>
      <c r="S854" s="877"/>
      <c r="T854" s="933"/>
      <c r="U854" s="933"/>
      <c r="X854" s="16"/>
      <c r="Y854" s="16"/>
    </row>
    <row r="855" spans="1:25" s="42" customFormat="1" ht="34.5" customHeight="1">
      <c r="A855" s="740"/>
      <c r="B855" s="446" t="s">
        <v>1594</v>
      </c>
      <c r="C855" s="164" t="s">
        <v>2251</v>
      </c>
      <c r="D855" s="444">
        <v>40876</v>
      </c>
      <c r="E855" s="647"/>
      <c r="F855" s="42" t="s">
        <v>315</v>
      </c>
      <c r="H855" s="283"/>
      <c r="I855" s="283"/>
      <c r="K855" s="283">
        <v>66600</v>
      </c>
      <c r="L855" s="283"/>
      <c r="M855" s="283">
        <f t="shared" si="98"/>
        <v>66600</v>
      </c>
      <c r="N855" s="283"/>
      <c r="O855" s="815"/>
      <c r="P855" s="164" t="s">
        <v>104</v>
      </c>
      <c r="Q855" s="351">
        <v>66600</v>
      </c>
      <c r="R855" s="351">
        <v>66600</v>
      </c>
      <c r="S855" s="1348" t="s">
        <v>2252</v>
      </c>
      <c r="T855" s="1348"/>
      <c r="U855" s="1348"/>
      <c r="W855" s="42" t="s">
        <v>2002</v>
      </c>
      <c r="X855" s="16">
        <f t="shared" si="97"/>
        <v>66600</v>
      </c>
      <c r="Y855" s="16">
        <f>X855-M855</f>
        <v>0</v>
      </c>
    </row>
    <row r="856" spans="1:25" s="42" customFormat="1" ht="15">
      <c r="A856" s="740"/>
      <c r="B856" s="446" t="s">
        <v>1616</v>
      </c>
      <c r="C856" s="164" t="s">
        <v>2253</v>
      </c>
      <c r="D856" s="444">
        <v>40876</v>
      </c>
      <c r="E856" s="647"/>
      <c r="F856" s="42" t="s">
        <v>315</v>
      </c>
      <c r="H856" s="283"/>
      <c r="I856" s="283"/>
      <c r="K856" s="283">
        <v>104100</v>
      </c>
      <c r="L856" s="283"/>
      <c r="M856" s="283">
        <f t="shared" si="98"/>
        <v>104100</v>
      </c>
      <c r="N856" s="283"/>
      <c r="O856" s="815"/>
      <c r="P856" s="164" t="s">
        <v>104</v>
      </c>
      <c r="Q856" s="522">
        <f>SUM(Q857:Q884)</f>
        <v>104100</v>
      </c>
      <c r="R856" s="522">
        <f>SUM(R857:R884)</f>
        <v>57040.862000000001</v>
      </c>
      <c r="S856" s="933"/>
      <c r="T856" s="933"/>
      <c r="U856" s="933"/>
      <c r="W856" s="42" t="s">
        <v>2002</v>
      </c>
      <c r="X856" s="16">
        <f t="shared" si="97"/>
        <v>104100</v>
      </c>
      <c r="Y856" s="16">
        <f>X856-M856</f>
        <v>0</v>
      </c>
    </row>
    <row r="857" spans="1:25" s="42" customFormat="1" ht="38.25" customHeight="1">
      <c r="A857" s="740"/>
      <c r="B857" s="918" t="s">
        <v>2254</v>
      </c>
      <c r="C857" s="164"/>
      <c r="D857" s="444"/>
      <c r="E857" s="784"/>
      <c r="H857" s="283"/>
      <c r="I857" s="283"/>
      <c r="K857" s="283"/>
      <c r="L857" s="283"/>
      <c r="M857" s="283"/>
      <c r="N857" s="283"/>
      <c r="O857" s="815"/>
      <c r="P857" s="164"/>
      <c r="Q857" s="920">
        <v>20000</v>
      </c>
      <c r="R857" s="994">
        <v>19.952999999999999</v>
      </c>
      <c r="S857" s="1326" t="s">
        <v>4750</v>
      </c>
      <c r="T857" s="1326"/>
      <c r="U857" s="1326"/>
      <c r="X857" s="16"/>
      <c r="Y857" s="16"/>
    </row>
    <row r="858" spans="1:25" s="42" customFormat="1" ht="15">
      <c r="A858" s="740"/>
      <c r="B858" s="530" t="s">
        <v>2255</v>
      </c>
      <c r="C858" s="164"/>
      <c r="D858" s="444"/>
      <c r="E858" s="329"/>
      <c r="H858" s="283"/>
      <c r="I858" s="283"/>
      <c r="K858" s="283"/>
      <c r="L858" s="283"/>
      <c r="M858" s="283"/>
      <c r="N858" s="283"/>
      <c r="O858" s="815"/>
      <c r="P858" s="164"/>
      <c r="Q858" s="889">
        <v>1000</v>
      </c>
      <c r="R858" s="995">
        <v>1000</v>
      </c>
      <c r="S858" s="933"/>
      <c r="T858" s="933"/>
      <c r="U858" s="933"/>
      <c r="X858" s="16"/>
      <c r="Y858" s="16"/>
    </row>
    <row r="859" spans="1:25" s="42" customFormat="1" ht="39.75" customHeight="1">
      <c r="A859" s="740"/>
      <c r="B859" s="918" t="s">
        <v>2256</v>
      </c>
      <c r="C859" s="164"/>
      <c r="D859" s="444"/>
      <c r="E859" s="329"/>
      <c r="H859" s="283"/>
      <c r="I859" s="283"/>
      <c r="K859" s="283"/>
      <c r="L859" s="283"/>
      <c r="M859" s="283"/>
      <c r="N859" s="283"/>
      <c r="O859" s="815"/>
      <c r="P859" s="164"/>
      <c r="Q859" s="920">
        <v>800</v>
      </c>
      <c r="R859" s="996">
        <v>800</v>
      </c>
      <c r="S859" s="1326" t="s">
        <v>4751</v>
      </c>
      <c r="T859" s="1326"/>
      <c r="U859" s="1326"/>
      <c r="X859" s="16"/>
      <c r="Y859" s="16"/>
    </row>
    <row r="860" spans="1:25" s="42" customFormat="1" ht="36" customHeight="1">
      <c r="A860" s="740"/>
      <c r="B860" s="918" t="s">
        <v>2257</v>
      </c>
      <c r="C860" s="164"/>
      <c r="D860" s="444"/>
      <c r="E860" s="329"/>
      <c r="H860" s="283"/>
      <c r="I860" s="283"/>
      <c r="K860" s="283"/>
      <c r="L860" s="283"/>
      <c r="M860" s="283"/>
      <c r="N860" s="283"/>
      <c r="O860" s="815"/>
      <c r="P860" s="164"/>
      <c r="Q860" s="920">
        <v>900</v>
      </c>
      <c r="R860" s="996">
        <v>855</v>
      </c>
      <c r="S860" s="1326" t="s">
        <v>4752</v>
      </c>
      <c r="T860" s="1326"/>
      <c r="U860" s="1326"/>
      <c r="X860" s="16"/>
      <c r="Y860" s="16"/>
    </row>
    <row r="861" spans="1:25" s="42" customFormat="1" ht="57" customHeight="1">
      <c r="A861" s="740"/>
      <c r="B861" s="918" t="s">
        <v>1841</v>
      </c>
      <c r="C861" s="164"/>
      <c r="D861" s="444"/>
      <c r="E861" s="784"/>
      <c r="H861" s="283"/>
      <c r="I861" s="283"/>
      <c r="K861" s="283"/>
      <c r="L861" s="283"/>
      <c r="M861" s="283"/>
      <c r="N861" s="283"/>
      <c r="O861" s="815"/>
      <c r="P861" s="164"/>
      <c r="Q861" s="920">
        <v>20000</v>
      </c>
      <c r="R861" s="996">
        <v>20000</v>
      </c>
      <c r="S861" s="1326" t="s">
        <v>4753</v>
      </c>
      <c r="T861" s="1326"/>
      <c r="U861" s="1326"/>
      <c r="X861" s="16"/>
      <c r="Y861" s="16"/>
    </row>
    <row r="862" spans="1:25" s="42" customFormat="1" ht="68.25" customHeight="1">
      <c r="A862" s="740"/>
      <c r="B862" s="918" t="s">
        <v>2258</v>
      </c>
      <c r="C862" s="164"/>
      <c r="D862" s="444"/>
      <c r="E862" s="784"/>
      <c r="H862" s="283"/>
      <c r="I862" s="283"/>
      <c r="K862" s="283"/>
      <c r="L862" s="283"/>
      <c r="M862" s="283"/>
      <c r="N862" s="283"/>
      <c r="O862" s="815"/>
      <c r="P862" s="164"/>
      <c r="Q862" s="920">
        <v>25000</v>
      </c>
      <c r="R862" s="994">
        <v>24.916</v>
      </c>
      <c r="S862" s="1326" t="s">
        <v>4754</v>
      </c>
      <c r="T862" s="1326"/>
      <c r="U862" s="1326"/>
      <c r="X862" s="16"/>
      <c r="Y862" s="16"/>
    </row>
    <row r="863" spans="1:25" s="42" customFormat="1" ht="45" customHeight="1">
      <c r="A863" s="740"/>
      <c r="B863" s="918" t="s">
        <v>2259</v>
      </c>
      <c r="C863" s="164"/>
      <c r="D863" s="444"/>
      <c r="E863" s="784"/>
      <c r="H863" s="283"/>
      <c r="I863" s="283"/>
      <c r="K863" s="283"/>
      <c r="L863" s="283"/>
      <c r="M863" s="283"/>
      <c r="N863" s="283"/>
      <c r="O863" s="815"/>
      <c r="P863" s="164"/>
      <c r="Q863" s="921">
        <v>1000</v>
      </c>
      <c r="R863" s="342">
        <v>986</v>
      </c>
      <c r="S863" s="1326" t="s">
        <v>4755</v>
      </c>
      <c r="T863" s="1326"/>
      <c r="U863" s="1326"/>
      <c r="X863" s="16"/>
      <c r="Y863" s="16"/>
    </row>
    <row r="864" spans="1:25" s="42" customFormat="1" ht="45" customHeight="1">
      <c r="A864" s="740"/>
      <c r="B864" s="918" t="s">
        <v>2260</v>
      </c>
      <c r="C864" s="164"/>
      <c r="D864" s="444"/>
      <c r="E864" s="784"/>
      <c r="H864" s="283"/>
      <c r="I864" s="283"/>
      <c r="K864" s="283"/>
      <c r="L864" s="283"/>
      <c r="M864" s="283"/>
      <c r="N864" s="283"/>
      <c r="O864" s="815"/>
      <c r="P864" s="164"/>
      <c r="Q864" s="920">
        <v>1000</v>
      </c>
      <c r="R864" s="996">
        <v>998</v>
      </c>
      <c r="S864" s="1326" t="s">
        <v>4756</v>
      </c>
      <c r="T864" s="1326"/>
      <c r="U864" s="1326"/>
      <c r="X864" s="16"/>
      <c r="Y864" s="16"/>
    </row>
    <row r="865" spans="1:25" s="42" customFormat="1" ht="15">
      <c r="A865" s="740"/>
      <c r="B865" s="530" t="s">
        <v>2261</v>
      </c>
      <c r="C865" s="164"/>
      <c r="D865" s="444"/>
      <c r="E865" s="784"/>
      <c r="H865" s="283"/>
      <c r="I865" s="283"/>
      <c r="K865" s="283"/>
      <c r="L865" s="283"/>
      <c r="M865" s="283"/>
      <c r="N865" s="283"/>
      <c r="O865" s="815"/>
      <c r="P865" s="164"/>
      <c r="Q865" s="889">
        <v>1000</v>
      </c>
      <c r="R865" s="995">
        <v>1000</v>
      </c>
      <c r="S865" s="933"/>
      <c r="T865" s="933"/>
      <c r="U865" s="933"/>
      <c r="X865" s="16"/>
      <c r="Y865" s="16"/>
    </row>
    <row r="866" spans="1:25" s="42" customFormat="1" ht="30" customHeight="1">
      <c r="A866" s="740"/>
      <c r="B866" s="918" t="s">
        <v>2262</v>
      </c>
      <c r="C866" s="164"/>
      <c r="D866" s="444"/>
      <c r="E866" s="784"/>
      <c r="H866" s="283"/>
      <c r="I866" s="283"/>
      <c r="K866" s="283"/>
      <c r="L866" s="283"/>
      <c r="M866" s="283"/>
      <c r="N866" s="283"/>
      <c r="O866" s="815"/>
      <c r="P866" s="164"/>
      <c r="Q866" s="920">
        <v>2000</v>
      </c>
      <c r="R866" s="994">
        <v>1.9930000000000001</v>
      </c>
      <c r="S866" s="1326" t="s">
        <v>4757</v>
      </c>
      <c r="T866" s="1326"/>
      <c r="U866" s="1326"/>
      <c r="X866" s="16"/>
      <c r="Y866" s="16"/>
    </row>
    <row r="867" spans="1:25" s="42" customFormat="1" ht="15">
      <c r="A867" s="740"/>
      <c r="B867" s="530" t="s">
        <v>2263</v>
      </c>
      <c r="C867" s="164"/>
      <c r="D867" s="444"/>
      <c r="E867" s="784"/>
      <c r="H867" s="283"/>
      <c r="I867" s="283"/>
      <c r="K867" s="283"/>
      <c r="L867" s="283"/>
      <c r="M867" s="283"/>
      <c r="N867" s="283"/>
      <c r="O867" s="815"/>
      <c r="P867" s="164"/>
      <c r="Q867" s="889">
        <v>500</v>
      </c>
      <c r="R867" s="995">
        <v>500</v>
      </c>
      <c r="S867" s="933"/>
      <c r="T867" s="933"/>
      <c r="U867" s="933"/>
      <c r="X867" s="16"/>
      <c r="Y867" s="16"/>
    </row>
    <row r="868" spans="1:25" s="42" customFormat="1" ht="30" customHeight="1">
      <c r="A868" s="740"/>
      <c r="B868" s="918" t="s">
        <v>2264</v>
      </c>
      <c r="C868" s="164"/>
      <c r="D868" s="444"/>
      <c r="E868" s="329"/>
      <c r="H868" s="283"/>
      <c r="I868" s="283"/>
      <c r="K868" s="283"/>
      <c r="L868" s="283"/>
      <c r="M868" s="283"/>
      <c r="N868" s="283"/>
      <c r="O868" s="815"/>
      <c r="P868" s="164"/>
      <c r="Q868" s="920">
        <v>400</v>
      </c>
      <c r="R868" s="996">
        <v>400</v>
      </c>
      <c r="S868" s="1326" t="s">
        <v>4758</v>
      </c>
      <c r="T868" s="1326"/>
      <c r="U868" s="1326"/>
      <c r="X868" s="16"/>
      <c r="Y868" s="16"/>
    </row>
    <row r="869" spans="1:25" s="42" customFormat="1" ht="50.25" customHeight="1">
      <c r="A869" s="740"/>
      <c r="B869" s="918" t="s">
        <v>2265</v>
      </c>
      <c r="C869" s="164"/>
      <c r="D869" s="444"/>
      <c r="E869" s="329"/>
      <c r="H869" s="283"/>
      <c r="I869" s="283"/>
      <c r="K869" s="283"/>
      <c r="L869" s="283"/>
      <c r="M869" s="283"/>
      <c r="N869" s="283"/>
      <c r="O869" s="815"/>
      <c r="P869" s="164"/>
      <c r="Q869" s="920">
        <v>500</v>
      </c>
      <c r="R869" s="996">
        <v>500</v>
      </c>
      <c r="S869" s="1326" t="s">
        <v>4759</v>
      </c>
      <c r="T869" s="1326"/>
      <c r="U869" s="1326"/>
      <c r="X869" s="16"/>
      <c r="Y869" s="16"/>
    </row>
    <row r="870" spans="1:25" s="42" customFormat="1" ht="30" customHeight="1">
      <c r="A870" s="740"/>
      <c r="B870" s="918" t="s">
        <v>2266</v>
      </c>
      <c r="C870" s="164"/>
      <c r="D870" s="444"/>
      <c r="E870" s="329"/>
      <c r="H870" s="283"/>
      <c r="I870" s="283"/>
      <c r="K870" s="283"/>
      <c r="L870" s="283"/>
      <c r="M870" s="283"/>
      <c r="N870" s="283"/>
      <c r="O870" s="815"/>
      <c r="P870" s="164"/>
      <c r="Q870" s="920">
        <v>700</v>
      </c>
      <c r="R870" s="996">
        <v>700</v>
      </c>
      <c r="S870" s="1326" t="s">
        <v>4760</v>
      </c>
      <c r="T870" s="1326"/>
      <c r="U870" s="1326"/>
      <c r="X870" s="16"/>
      <c r="Y870" s="16"/>
    </row>
    <row r="871" spans="1:25" s="42" customFormat="1" ht="15">
      <c r="A871" s="740"/>
      <c r="B871" s="530" t="s">
        <v>2267</v>
      </c>
      <c r="C871" s="164"/>
      <c r="D871" s="444"/>
      <c r="E871" s="329"/>
      <c r="H871" s="283"/>
      <c r="I871" s="283"/>
      <c r="K871" s="283"/>
      <c r="L871" s="283"/>
      <c r="M871" s="283"/>
      <c r="N871" s="283"/>
      <c r="O871" s="815"/>
      <c r="P871" s="164"/>
      <c r="Q871" s="889">
        <v>400</v>
      </c>
      <c r="R871" s="995">
        <v>400</v>
      </c>
      <c r="S871" s="933"/>
      <c r="T871" s="933"/>
      <c r="U871" s="933"/>
      <c r="X871" s="16"/>
      <c r="Y871" s="16"/>
    </row>
    <row r="872" spans="1:25" s="42" customFormat="1" ht="15">
      <c r="A872" s="740"/>
      <c r="B872" s="530" t="s">
        <v>2268</v>
      </c>
      <c r="C872" s="164"/>
      <c r="D872" s="444"/>
      <c r="E872" s="329"/>
      <c r="H872" s="283"/>
      <c r="I872" s="283"/>
      <c r="K872" s="283"/>
      <c r="L872" s="283"/>
      <c r="M872" s="283"/>
      <c r="N872" s="283"/>
      <c r="O872" s="815"/>
      <c r="P872" s="164"/>
      <c r="Q872" s="889">
        <v>700</v>
      </c>
      <c r="R872" s="995">
        <v>696</v>
      </c>
      <c r="S872" s="933" t="s">
        <v>4761</v>
      </c>
      <c r="T872" s="933"/>
      <c r="U872" s="933"/>
      <c r="X872" s="16"/>
      <c r="Y872" s="16"/>
    </row>
    <row r="873" spans="1:25" s="42" customFormat="1" ht="15">
      <c r="A873" s="740"/>
      <c r="B873" s="530" t="s">
        <v>1947</v>
      </c>
      <c r="C873" s="164"/>
      <c r="D873" s="444"/>
      <c r="E873" s="329"/>
      <c r="H873" s="283"/>
      <c r="I873" s="283"/>
      <c r="K873" s="283"/>
      <c r="L873" s="283"/>
      <c r="M873" s="283"/>
      <c r="N873" s="283"/>
      <c r="O873" s="815"/>
      <c r="P873" s="164"/>
      <c r="Q873" s="889">
        <v>20000</v>
      </c>
      <c r="R873" s="995">
        <v>20000</v>
      </c>
      <c r="S873" s="933"/>
      <c r="T873" s="933"/>
      <c r="U873" s="933"/>
      <c r="X873" s="16"/>
      <c r="Y873" s="16"/>
    </row>
    <row r="874" spans="1:25" s="42" customFormat="1" ht="15">
      <c r="A874" s="740"/>
      <c r="B874" s="530" t="s">
        <v>2269</v>
      </c>
      <c r="C874" s="164"/>
      <c r="D874" s="444"/>
      <c r="E874" s="329"/>
      <c r="H874" s="283"/>
      <c r="I874" s="283"/>
      <c r="K874" s="283"/>
      <c r="L874" s="283"/>
      <c r="M874" s="283"/>
      <c r="N874" s="283"/>
      <c r="O874" s="815"/>
      <c r="P874" s="164"/>
      <c r="Q874" s="889">
        <v>600</v>
      </c>
      <c r="R874" s="995">
        <v>600</v>
      </c>
      <c r="S874" s="933"/>
      <c r="T874" s="933"/>
      <c r="U874" s="933"/>
      <c r="X874" s="16"/>
      <c r="Y874" s="16"/>
    </row>
    <row r="875" spans="1:25" s="42" customFormat="1" ht="15">
      <c r="A875" s="740"/>
      <c r="B875" s="530" t="s">
        <v>2270</v>
      </c>
      <c r="C875" s="164"/>
      <c r="D875" s="444"/>
      <c r="E875" s="329"/>
      <c r="H875" s="283"/>
      <c r="I875" s="283"/>
      <c r="K875" s="283"/>
      <c r="L875" s="283"/>
      <c r="M875" s="283"/>
      <c r="N875" s="283"/>
      <c r="O875" s="815"/>
      <c r="P875" s="164"/>
      <c r="Q875" s="889">
        <v>800</v>
      </c>
      <c r="R875" s="995">
        <v>800</v>
      </c>
      <c r="S875" s="933"/>
      <c r="T875" s="933"/>
      <c r="U875" s="933"/>
      <c r="X875" s="16"/>
      <c r="Y875" s="16"/>
    </row>
    <row r="876" spans="1:25" s="42" customFormat="1" ht="15">
      <c r="A876" s="740"/>
      <c r="B876" s="530" t="s">
        <v>2271</v>
      </c>
      <c r="C876" s="164"/>
      <c r="D876" s="444"/>
      <c r="E876" s="329"/>
      <c r="H876" s="283"/>
      <c r="I876" s="283"/>
      <c r="K876" s="283"/>
      <c r="L876" s="283"/>
      <c r="M876" s="283"/>
      <c r="N876" s="283"/>
      <c r="O876" s="815"/>
      <c r="P876" s="164"/>
      <c r="Q876" s="889">
        <v>600</v>
      </c>
      <c r="R876" s="995">
        <v>600</v>
      </c>
      <c r="S876" s="933"/>
      <c r="T876" s="933"/>
      <c r="U876" s="933"/>
      <c r="X876" s="16"/>
      <c r="Y876" s="16"/>
    </row>
    <row r="877" spans="1:25" s="42" customFormat="1" ht="15">
      <c r="A877" s="740"/>
      <c r="B877" s="530" t="s">
        <v>2272</v>
      </c>
      <c r="C877" s="164"/>
      <c r="D877" s="444"/>
      <c r="E877" s="329"/>
      <c r="H877" s="283"/>
      <c r="I877" s="283"/>
      <c r="K877" s="283"/>
      <c r="L877" s="283"/>
      <c r="M877" s="283"/>
      <c r="N877" s="283"/>
      <c r="O877" s="815"/>
      <c r="P877" s="164"/>
      <c r="Q877" s="889">
        <v>700</v>
      </c>
      <c r="R877" s="995">
        <v>700</v>
      </c>
      <c r="S877" s="933"/>
      <c r="T877" s="933"/>
      <c r="U877" s="933"/>
      <c r="X877" s="16"/>
      <c r="Y877" s="16"/>
    </row>
    <row r="878" spans="1:25" s="42" customFormat="1" ht="15">
      <c r="A878" s="740"/>
      <c r="B878" s="530" t="s">
        <v>2273</v>
      </c>
      <c r="C878" s="164"/>
      <c r="D878" s="444"/>
      <c r="E878" s="329"/>
      <c r="H878" s="283"/>
      <c r="I878" s="283"/>
      <c r="K878" s="283"/>
      <c r="L878" s="283"/>
      <c r="M878" s="283"/>
      <c r="N878" s="283"/>
      <c r="O878" s="815"/>
      <c r="P878" s="164"/>
      <c r="Q878" s="889">
        <v>1000</v>
      </c>
      <c r="R878" s="995">
        <v>1000</v>
      </c>
      <c r="S878" s="933"/>
      <c r="T878" s="933"/>
      <c r="U878" s="933"/>
      <c r="X878" s="16"/>
      <c r="Y878" s="16"/>
    </row>
    <row r="879" spans="1:25" s="42" customFormat="1" ht="32.25" customHeight="1">
      <c r="A879" s="740"/>
      <c r="B879" s="918" t="s">
        <v>2274</v>
      </c>
      <c r="C879" s="164"/>
      <c r="D879" s="444"/>
      <c r="E879" s="329"/>
      <c r="H879" s="283"/>
      <c r="I879" s="283"/>
      <c r="K879" s="283"/>
      <c r="L879" s="283"/>
      <c r="M879" s="283"/>
      <c r="N879" s="283"/>
      <c r="O879" s="815"/>
      <c r="P879" s="164"/>
      <c r="Q879" s="920">
        <v>800</v>
      </c>
      <c r="R879" s="996">
        <v>759</v>
      </c>
      <c r="S879" s="1326" t="s">
        <v>4762</v>
      </c>
      <c r="T879" s="1326"/>
      <c r="U879" s="1326"/>
      <c r="X879" s="16"/>
      <c r="Y879" s="16"/>
    </row>
    <row r="880" spans="1:25" s="42" customFormat="1" ht="15">
      <c r="A880" s="740"/>
      <c r="B880" s="530" t="s">
        <v>2275</v>
      </c>
      <c r="C880" s="164"/>
      <c r="D880" s="444"/>
      <c r="E880" s="329"/>
      <c r="H880" s="283"/>
      <c r="I880" s="283"/>
      <c r="K880" s="283"/>
      <c r="L880" s="283"/>
      <c r="M880" s="283"/>
      <c r="N880" s="283"/>
      <c r="O880" s="815"/>
      <c r="P880" s="164"/>
      <c r="Q880" s="889">
        <v>500</v>
      </c>
      <c r="R880" s="995">
        <v>500</v>
      </c>
      <c r="S880" s="933"/>
      <c r="T880" s="933"/>
      <c r="U880" s="933"/>
      <c r="X880" s="16"/>
      <c r="Y880" s="16"/>
    </row>
    <row r="881" spans="1:25" s="42" customFormat="1" ht="15">
      <c r="A881" s="740"/>
      <c r="B881" s="530" t="s">
        <v>2276</v>
      </c>
      <c r="C881" s="164"/>
      <c r="D881" s="444"/>
      <c r="E881" s="329"/>
      <c r="H881" s="283"/>
      <c r="I881" s="283"/>
      <c r="K881" s="283"/>
      <c r="L881" s="283"/>
      <c r="M881" s="283"/>
      <c r="N881" s="283"/>
      <c r="O881" s="815"/>
      <c r="P881" s="164"/>
      <c r="Q881" s="889">
        <v>800</v>
      </c>
      <c r="R881" s="995">
        <v>800</v>
      </c>
      <c r="S881" s="933"/>
      <c r="T881" s="933"/>
      <c r="U881" s="933"/>
      <c r="X881" s="16"/>
      <c r="Y881" s="16"/>
    </row>
    <row r="882" spans="1:25" s="42" customFormat="1" ht="15">
      <c r="A882" s="740"/>
      <c r="B882" s="530" t="s">
        <v>2277</v>
      </c>
      <c r="C882" s="164"/>
      <c r="D882" s="444"/>
      <c r="E882" s="329"/>
      <c r="H882" s="283"/>
      <c r="I882" s="283"/>
      <c r="K882" s="283"/>
      <c r="L882" s="283"/>
      <c r="M882" s="283"/>
      <c r="N882" s="283"/>
      <c r="O882" s="815"/>
      <c r="P882" s="164"/>
      <c r="Q882" s="889">
        <v>700</v>
      </c>
      <c r="R882" s="995">
        <v>700</v>
      </c>
      <c r="S882" s="933"/>
      <c r="T882" s="933"/>
      <c r="U882" s="933"/>
      <c r="X882" s="16"/>
      <c r="Y882" s="16"/>
    </row>
    <row r="883" spans="1:25" s="42" customFormat="1" ht="15">
      <c r="A883" s="740"/>
      <c r="B883" s="530" t="s">
        <v>357</v>
      </c>
      <c r="C883" s="164"/>
      <c r="D883" s="444"/>
      <c r="E883" s="329"/>
      <c r="H883" s="283"/>
      <c r="I883" s="283"/>
      <c r="K883" s="283"/>
      <c r="L883" s="283"/>
      <c r="M883" s="283"/>
      <c r="N883" s="283"/>
      <c r="O883" s="815"/>
      <c r="P883" s="164"/>
      <c r="Q883" s="889">
        <v>700</v>
      </c>
      <c r="R883" s="995">
        <v>700</v>
      </c>
      <c r="S883" s="933"/>
      <c r="T883" s="933"/>
      <c r="U883" s="933"/>
      <c r="X883" s="16"/>
      <c r="Y883" s="16"/>
    </row>
    <row r="884" spans="1:25" s="42" customFormat="1" ht="15">
      <c r="A884" s="740"/>
      <c r="B884" s="530" t="s">
        <v>2278</v>
      </c>
      <c r="C884" s="164"/>
      <c r="D884" s="444"/>
      <c r="E884" s="329"/>
      <c r="H884" s="283"/>
      <c r="I884" s="283"/>
      <c r="K884" s="283"/>
      <c r="L884" s="283"/>
      <c r="M884" s="283"/>
      <c r="N884" s="283"/>
      <c r="O884" s="815"/>
      <c r="P884" s="164"/>
      <c r="Q884" s="708">
        <v>1000</v>
      </c>
      <c r="R884" s="708">
        <v>1000</v>
      </c>
      <c r="S884" s="933"/>
      <c r="T884" s="933"/>
      <c r="U884" s="933"/>
      <c r="X884" s="16"/>
      <c r="Y884" s="16"/>
    </row>
    <row r="885" spans="1:25" s="42" customFormat="1" ht="15">
      <c r="A885" s="740"/>
      <c r="B885" s="446"/>
      <c r="C885" s="164"/>
      <c r="D885" s="444"/>
      <c r="E885" s="647"/>
      <c r="H885" s="283"/>
      <c r="I885" s="283"/>
      <c r="K885" s="283"/>
      <c r="L885" s="283"/>
      <c r="M885" s="283"/>
      <c r="N885" s="283"/>
      <c r="O885" s="815"/>
      <c r="P885" s="164"/>
      <c r="Q885" s="351"/>
      <c r="R885" s="351"/>
      <c r="S885" s="933"/>
      <c r="T885" s="933"/>
      <c r="U885" s="933"/>
      <c r="X885" s="16"/>
      <c r="Y885" s="16"/>
    </row>
    <row r="886" spans="1:25" s="42" customFormat="1" ht="15">
      <c r="A886" s="740"/>
      <c r="B886" s="446" t="s">
        <v>1651</v>
      </c>
      <c r="C886" s="164" t="s">
        <v>2279</v>
      </c>
      <c r="D886" s="444">
        <v>40876</v>
      </c>
      <c r="E886" s="647"/>
      <c r="F886" s="42" t="s">
        <v>315</v>
      </c>
      <c r="H886" s="283"/>
      <c r="I886" s="283"/>
      <c r="K886" s="283">
        <v>450200</v>
      </c>
      <c r="L886" s="283"/>
      <c r="M886" s="283">
        <f t="shared" si="98"/>
        <v>450200</v>
      </c>
      <c r="N886" s="283"/>
      <c r="O886" s="815"/>
      <c r="P886" s="164" t="s">
        <v>104</v>
      </c>
      <c r="Q886" s="351">
        <v>450200</v>
      </c>
      <c r="R886" s="351">
        <v>450200</v>
      </c>
      <c r="S886" s="933"/>
      <c r="T886" s="933"/>
      <c r="U886" s="933"/>
      <c r="W886" s="42" t="s">
        <v>2002</v>
      </c>
      <c r="X886" s="16">
        <f t="shared" si="97"/>
        <v>450200</v>
      </c>
      <c r="Y886" s="16">
        <f>X886-M886</f>
        <v>0</v>
      </c>
    </row>
    <row r="887" spans="1:25" s="42" customFormat="1" ht="15">
      <c r="A887" s="740"/>
      <c r="B887" s="446" t="s">
        <v>1639</v>
      </c>
      <c r="C887" s="164" t="s">
        <v>2280</v>
      </c>
      <c r="D887" s="444">
        <v>40876</v>
      </c>
      <c r="E887" s="647"/>
      <c r="F887" s="42" t="s">
        <v>315</v>
      </c>
      <c r="H887" s="283"/>
      <c r="I887" s="283"/>
      <c r="K887" s="283">
        <v>53900</v>
      </c>
      <c r="L887" s="283"/>
      <c r="M887" s="283">
        <f t="shared" si="98"/>
        <v>53900</v>
      </c>
      <c r="N887" s="283"/>
      <c r="O887" s="815"/>
      <c r="P887" s="164" t="s">
        <v>104</v>
      </c>
      <c r="Q887" s="351">
        <v>53900</v>
      </c>
      <c r="R887" s="351">
        <v>53900</v>
      </c>
      <c r="S887" s="933"/>
      <c r="T887" s="933"/>
      <c r="U887" s="933"/>
      <c r="W887" s="42" t="s">
        <v>2002</v>
      </c>
      <c r="X887" s="16">
        <f t="shared" si="97"/>
        <v>53900</v>
      </c>
      <c r="Y887" s="16">
        <f>X887-M887</f>
        <v>0</v>
      </c>
    </row>
    <row r="888" spans="1:25" s="42" customFormat="1" ht="15">
      <c r="A888" s="740"/>
      <c r="B888" s="446" t="s">
        <v>1591</v>
      </c>
      <c r="C888" s="164" t="s">
        <v>2281</v>
      </c>
      <c r="D888" s="444">
        <v>40876</v>
      </c>
      <c r="E888" s="647"/>
      <c r="F888" s="42" t="s">
        <v>315</v>
      </c>
      <c r="H888" s="283"/>
      <c r="I888" s="283"/>
      <c r="K888" s="283">
        <v>77500</v>
      </c>
      <c r="L888" s="283"/>
      <c r="M888" s="283">
        <f t="shared" si="98"/>
        <v>77500</v>
      </c>
      <c r="N888" s="283"/>
      <c r="O888" s="815"/>
      <c r="P888" s="164" t="s">
        <v>104</v>
      </c>
      <c r="Q888" s="522">
        <v>77500</v>
      </c>
      <c r="R888" s="522">
        <v>77500</v>
      </c>
      <c r="S888" s="933"/>
      <c r="T888" s="933"/>
      <c r="U888" s="933"/>
      <c r="W888" s="42" t="s">
        <v>2002</v>
      </c>
      <c r="X888" s="16">
        <f t="shared" si="97"/>
        <v>77500</v>
      </c>
      <c r="Y888" s="16">
        <f>X888-M888</f>
        <v>0</v>
      </c>
    </row>
    <row r="889" spans="1:25" s="42" customFormat="1" ht="15">
      <c r="A889" s="740"/>
      <c r="B889" s="1085" t="s">
        <v>6362</v>
      </c>
      <c r="C889" s="164"/>
      <c r="D889" s="444"/>
      <c r="E889" s="647"/>
      <c r="H889" s="283"/>
      <c r="I889" s="283"/>
      <c r="K889" s="283"/>
      <c r="L889" s="283"/>
      <c r="M889" s="283"/>
      <c r="N889" s="283"/>
      <c r="O889" s="815"/>
      <c r="P889" s="164"/>
      <c r="Q889" s="351"/>
      <c r="R889" s="351"/>
      <c r="S889" s="286" t="s">
        <v>6371</v>
      </c>
      <c r="T889" s="286"/>
      <c r="U889" s="286"/>
      <c r="X889" s="16"/>
      <c r="Y889" s="16"/>
    </row>
    <row r="890" spans="1:25" s="42" customFormat="1" ht="15">
      <c r="A890" s="740"/>
      <c r="B890" s="1085" t="s">
        <v>6349</v>
      </c>
      <c r="C890" s="164"/>
      <c r="D890" s="444"/>
      <c r="E890" s="647"/>
      <c r="H890" s="283"/>
      <c r="I890" s="283"/>
      <c r="K890" s="283"/>
      <c r="L890" s="283"/>
      <c r="M890" s="283"/>
      <c r="N890" s="283"/>
      <c r="O890" s="815"/>
      <c r="P890" s="164"/>
      <c r="Q890" s="351"/>
      <c r="R890" s="351"/>
      <c r="S890" s="286" t="s">
        <v>6372</v>
      </c>
      <c r="T890" s="286"/>
      <c r="U890" s="286"/>
      <c r="X890" s="16"/>
      <c r="Y890" s="16"/>
    </row>
    <row r="891" spans="1:25" s="42" customFormat="1" ht="15">
      <c r="A891" s="740"/>
      <c r="B891" s="1085" t="s">
        <v>6363</v>
      </c>
      <c r="C891" s="164"/>
      <c r="D891" s="444"/>
      <c r="E891" s="647"/>
      <c r="H891" s="283"/>
      <c r="I891" s="283"/>
      <c r="K891" s="283"/>
      <c r="L891" s="283"/>
      <c r="M891" s="283"/>
      <c r="N891" s="283"/>
      <c r="O891" s="815"/>
      <c r="P891" s="164"/>
      <c r="Q891" s="351"/>
      <c r="R891" s="351"/>
      <c r="S891" s="286"/>
      <c r="T891" s="286"/>
      <c r="U891" s="286"/>
      <c r="X891" s="16"/>
      <c r="Y891" s="16"/>
    </row>
    <row r="892" spans="1:25" s="42" customFormat="1" ht="15">
      <c r="A892" s="740"/>
      <c r="B892" s="1085" t="s">
        <v>6364</v>
      </c>
      <c r="C892" s="164"/>
      <c r="D892" s="444"/>
      <c r="E892" s="647"/>
      <c r="H892" s="283"/>
      <c r="I892" s="283"/>
      <c r="K892" s="283"/>
      <c r="L892" s="283"/>
      <c r="M892" s="283"/>
      <c r="N892" s="283"/>
      <c r="O892" s="815"/>
      <c r="P892" s="164"/>
      <c r="Q892" s="351"/>
      <c r="R892" s="351"/>
      <c r="S892" s="286"/>
      <c r="T892" s="286"/>
      <c r="U892" s="286"/>
      <c r="X892" s="16"/>
      <c r="Y892" s="16"/>
    </row>
    <row r="893" spans="1:25" s="42" customFormat="1" ht="15">
      <c r="A893" s="740"/>
      <c r="B893" s="1085" t="s">
        <v>6365</v>
      </c>
      <c r="C893" s="164"/>
      <c r="D893" s="444"/>
      <c r="E893" s="647"/>
      <c r="H893" s="283"/>
      <c r="I893" s="283"/>
      <c r="K893" s="283"/>
      <c r="L893" s="283"/>
      <c r="M893" s="283"/>
      <c r="N893" s="283"/>
      <c r="O893" s="815"/>
      <c r="P893" s="164"/>
      <c r="Q893" s="351"/>
      <c r="R893" s="351"/>
      <c r="S893" s="286"/>
      <c r="T893" s="286"/>
      <c r="U893" s="286"/>
      <c r="X893" s="16"/>
      <c r="Y893" s="16"/>
    </row>
    <row r="894" spans="1:25" s="42" customFormat="1" ht="15">
      <c r="A894" s="740"/>
      <c r="B894" s="1085" t="s">
        <v>6366</v>
      </c>
      <c r="C894" s="164"/>
      <c r="D894" s="444"/>
      <c r="E894" s="647"/>
      <c r="H894" s="283"/>
      <c r="I894" s="283"/>
      <c r="K894" s="283"/>
      <c r="L894" s="283"/>
      <c r="M894" s="283"/>
      <c r="N894" s="283"/>
      <c r="O894" s="815"/>
      <c r="P894" s="164"/>
      <c r="Q894" s="351"/>
      <c r="R894" s="351"/>
      <c r="S894" s="286"/>
      <c r="T894" s="286"/>
      <c r="U894" s="286"/>
      <c r="X894" s="16"/>
      <c r="Y894" s="16"/>
    </row>
    <row r="895" spans="1:25" s="42" customFormat="1" ht="15">
      <c r="A895" s="740"/>
      <c r="B895" s="1085" t="s">
        <v>6367</v>
      </c>
      <c r="C895" s="164"/>
      <c r="D895" s="444"/>
      <c r="E895" s="647"/>
      <c r="H895" s="283"/>
      <c r="I895" s="283"/>
      <c r="K895" s="283"/>
      <c r="L895" s="283"/>
      <c r="M895" s="283"/>
      <c r="N895" s="283"/>
      <c r="O895" s="815"/>
      <c r="P895" s="164"/>
      <c r="Q895" s="351"/>
      <c r="R895" s="351"/>
      <c r="S895" s="286" t="s">
        <v>6373</v>
      </c>
      <c r="T895" s="286"/>
      <c r="U895" s="286"/>
      <c r="X895" s="16"/>
      <c r="Y895" s="16"/>
    </row>
    <row r="896" spans="1:25" s="42" customFormat="1" ht="15">
      <c r="A896" s="740"/>
      <c r="B896" s="1085" t="s">
        <v>6368</v>
      </c>
      <c r="C896" s="164"/>
      <c r="D896" s="444"/>
      <c r="E896" s="647"/>
      <c r="H896" s="283"/>
      <c r="I896" s="283"/>
      <c r="K896" s="283"/>
      <c r="L896" s="283"/>
      <c r="M896" s="283"/>
      <c r="N896" s="283"/>
      <c r="O896" s="815"/>
      <c r="P896" s="164"/>
      <c r="Q896" s="351"/>
      <c r="R896" s="351"/>
      <c r="S896" s="286"/>
      <c r="T896" s="286"/>
      <c r="U896" s="286"/>
      <c r="X896" s="16"/>
      <c r="Y896" s="16"/>
    </row>
    <row r="897" spans="1:25" s="42" customFormat="1" ht="34.5">
      <c r="A897" s="740"/>
      <c r="B897" s="42" t="s">
        <v>6369</v>
      </c>
      <c r="C897" s="164"/>
      <c r="D897" s="444"/>
      <c r="E897" s="647"/>
      <c r="H897" s="283"/>
      <c r="I897" s="283"/>
      <c r="K897" s="283"/>
      <c r="L897" s="283"/>
      <c r="M897" s="283"/>
      <c r="N897" s="283"/>
      <c r="O897" s="815"/>
      <c r="P897" s="164"/>
      <c r="Q897" s="351"/>
      <c r="R897" s="351"/>
      <c r="S897" s="1086" t="s">
        <v>6374</v>
      </c>
      <c r="T897" s="1086"/>
      <c r="U897" s="1086"/>
      <c r="X897" s="16"/>
      <c r="Y897" s="16"/>
    </row>
    <row r="898" spans="1:25" s="42" customFormat="1" ht="23.25">
      <c r="A898" s="740"/>
      <c r="B898" s="42" t="s">
        <v>6347</v>
      </c>
      <c r="C898" s="164"/>
      <c r="D898" s="444"/>
      <c r="E898" s="647"/>
      <c r="H898" s="283"/>
      <c r="I898" s="283"/>
      <c r="K898" s="283"/>
      <c r="L898" s="283"/>
      <c r="M898" s="283"/>
      <c r="N898" s="283"/>
      <c r="O898" s="815"/>
      <c r="P898" s="164"/>
      <c r="Q898" s="351"/>
      <c r="R898" s="351"/>
      <c r="S898" s="1168" t="s">
        <v>6375</v>
      </c>
      <c r="T898" s="1168"/>
      <c r="U898" s="1168"/>
      <c r="X898" s="16"/>
      <c r="Y898" s="16"/>
    </row>
    <row r="899" spans="1:25" s="42" customFormat="1" ht="34.5">
      <c r="A899" s="740"/>
      <c r="B899" s="42" t="s">
        <v>6370</v>
      </c>
      <c r="C899" s="164"/>
      <c r="D899" s="444"/>
      <c r="E899" s="647"/>
      <c r="H899" s="283"/>
      <c r="I899" s="283"/>
      <c r="K899" s="283"/>
      <c r="L899" s="283"/>
      <c r="M899" s="283"/>
      <c r="N899" s="283"/>
      <c r="O899" s="815"/>
      <c r="P899" s="164"/>
      <c r="Q899" s="283"/>
      <c r="R899" s="283"/>
      <c r="S899" s="1168" t="s">
        <v>6376</v>
      </c>
      <c r="T899" s="1168"/>
      <c r="U899" s="1168"/>
      <c r="X899" s="16"/>
      <c r="Y899" s="16"/>
    </row>
    <row r="900" spans="1:25" s="42" customFormat="1" ht="15">
      <c r="A900" s="740"/>
      <c r="B900" s="446"/>
      <c r="C900" s="164"/>
      <c r="D900" s="444"/>
      <c r="E900" s="647"/>
      <c r="H900" s="283"/>
      <c r="I900" s="283"/>
      <c r="K900" s="283"/>
      <c r="L900" s="283"/>
      <c r="M900" s="283"/>
      <c r="N900" s="283"/>
      <c r="O900" s="815"/>
      <c r="P900" s="164"/>
      <c r="Q900" s="351"/>
      <c r="R900" s="351"/>
      <c r="S900" s="933"/>
      <c r="T900" s="933"/>
      <c r="U900" s="933"/>
      <c r="X900" s="16"/>
      <c r="Y900" s="16"/>
    </row>
    <row r="901" spans="1:25" s="42" customFormat="1" ht="15">
      <c r="A901" s="740"/>
      <c r="B901" s="446" t="s">
        <v>1700</v>
      </c>
      <c r="C901" s="164" t="s">
        <v>2282</v>
      </c>
      <c r="D901" s="444">
        <v>40876</v>
      </c>
      <c r="E901" s="647"/>
      <c r="F901" s="42" t="s">
        <v>315</v>
      </c>
      <c r="H901" s="283"/>
      <c r="I901" s="283"/>
      <c r="K901" s="283">
        <v>39200</v>
      </c>
      <c r="L901" s="283"/>
      <c r="M901" s="283">
        <f t="shared" si="98"/>
        <v>39200</v>
      </c>
      <c r="N901" s="283"/>
      <c r="O901" s="815"/>
      <c r="P901" s="164" t="s">
        <v>104</v>
      </c>
      <c r="Q901" s="351">
        <v>39200</v>
      </c>
      <c r="R901" s="351">
        <v>39200</v>
      </c>
      <c r="S901" s="933"/>
      <c r="T901" s="933"/>
      <c r="U901" s="933"/>
      <c r="W901" s="42" t="s">
        <v>2002</v>
      </c>
      <c r="X901" s="16">
        <f t="shared" si="97"/>
        <v>39200</v>
      </c>
      <c r="Y901" s="16">
        <f>X901-M901</f>
        <v>0</v>
      </c>
    </row>
    <row r="902" spans="1:25" s="42" customFormat="1" ht="15">
      <c r="A902" s="740"/>
      <c r="B902" s="534" t="s">
        <v>5710</v>
      </c>
      <c r="C902" s="164"/>
      <c r="D902" s="444"/>
      <c r="E902" s="647"/>
      <c r="H902" s="283"/>
      <c r="I902" s="283"/>
      <c r="K902" s="283"/>
      <c r="L902" s="283"/>
      <c r="M902" s="283"/>
      <c r="N902" s="283"/>
      <c r="O902" s="815"/>
      <c r="P902" s="164"/>
      <c r="Q902" s="351"/>
      <c r="R902" s="351"/>
      <c r="S902" s="933">
        <v>800000</v>
      </c>
      <c r="T902" s="933"/>
      <c r="U902" s="933"/>
      <c r="X902" s="16"/>
      <c r="Y902" s="16"/>
    </row>
    <row r="903" spans="1:25" s="42" customFormat="1" ht="15">
      <c r="A903" s="740"/>
      <c r="B903" s="534" t="s">
        <v>3541</v>
      </c>
      <c r="C903" s="164"/>
      <c r="D903" s="444"/>
      <c r="E903" s="647"/>
      <c r="H903" s="283"/>
      <c r="I903" s="283"/>
      <c r="K903" s="283"/>
      <c r="L903" s="283"/>
      <c r="M903" s="283"/>
      <c r="N903" s="283"/>
      <c r="O903" s="815"/>
      <c r="P903" s="164"/>
      <c r="Q903" s="351"/>
      <c r="R903" s="351"/>
      <c r="S903" s="933">
        <v>0</v>
      </c>
      <c r="T903" s="933"/>
      <c r="U903" s="933"/>
      <c r="X903" s="16"/>
      <c r="Y903" s="16"/>
    </row>
    <row r="904" spans="1:25" s="42" customFormat="1" ht="15">
      <c r="A904" s="740"/>
      <c r="B904" s="534" t="s">
        <v>3541</v>
      </c>
      <c r="C904" s="164"/>
      <c r="D904" s="444"/>
      <c r="E904" s="647"/>
      <c r="H904" s="283"/>
      <c r="I904" s="283"/>
      <c r="K904" s="283"/>
      <c r="L904" s="283"/>
      <c r="M904" s="283"/>
      <c r="N904" s="283"/>
      <c r="O904" s="815"/>
      <c r="P904" s="164"/>
      <c r="Q904" s="351"/>
      <c r="R904" s="351"/>
      <c r="S904" s="933">
        <v>0</v>
      </c>
      <c r="T904" s="933"/>
      <c r="U904" s="933"/>
      <c r="X904" s="16"/>
      <c r="Y904" s="16"/>
    </row>
    <row r="905" spans="1:25" s="42" customFormat="1" ht="15">
      <c r="A905" s="740"/>
      <c r="B905" s="534" t="s">
        <v>5710</v>
      </c>
      <c r="C905" s="164"/>
      <c r="D905" s="444"/>
      <c r="E905" s="647"/>
      <c r="H905" s="283"/>
      <c r="I905" s="283"/>
      <c r="K905" s="283"/>
      <c r="L905" s="283"/>
      <c r="M905" s="283"/>
      <c r="N905" s="283"/>
      <c r="O905" s="815"/>
      <c r="P905" s="164"/>
      <c r="Q905" s="351"/>
      <c r="R905" s="351"/>
      <c r="S905" s="933">
        <v>800000</v>
      </c>
      <c r="T905" s="933"/>
      <c r="U905" s="933"/>
      <c r="X905" s="16"/>
      <c r="Y905" s="16"/>
    </row>
    <row r="906" spans="1:25" s="42" customFormat="1" ht="15">
      <c r="A906" s="740"/>
      <c r="B906" s="534" t="s">
        <v>5710</v>
      </c>
      <c r="C906" s="164"/>
      <c r="D906" s="444"/>
      <c r="E906" s="647"/>
      <c r="H906" s="283"/>
      <c r="I906" s="283"/>
      <c r="K906" s="283"/>
      <c r="L906" s="283"/>
      <c r="M906" s="283"/>
      <c r="N906" s="283"/>
      <c r="O906" s="815"/>
      <c r="P906" s="164"/>
      <c r="Q906" s="351"/>
      <c r="R906" s="351"/>
      <c r="S906" s="933">
        <v>900000</v>
      </c>
      <c r="T906" s="933"/>
      <c r="U906" s="933"/>
      <c r="X906" s="16"/>
      <c r="Y906" s="16"/>
    </row>
    <row r="907" spans="1:25" s="42" customFormat="1" ht="15">
      <c r="A907" s="740"/>
      <c r="B907" s="534" t="s">
        <v>3541</v>
      </c>
      <c r="C907" s="164"/>
      <c r="D907" s="444"/>
      <c r="E907" s="647"/>
      <c r="H907" s="283"/>
      <c r="I907" s="283"/>
      <c r="K907" s="283"/>
      <c r="L907" s="283"/>
      <c r="M907" s="283"/>
      <c r="N907" s="283"/>
      <c r="O907" s="815"/>
      <c r="P907" s="164"/>
      <c r="Q907" s="351"/>
      <c r="R907" s="351"/>
      <c r="S907" s="933">
        <v>0</v>
      </c>
      <c r="T907" s="933"/>
      <c r="U907" s="933"/>
      <c r="X907" s="16"/>
      <c r="Y907" s="16"/>
    </row>
    <row r="908" spans="1:25" s="42" customFormat="1" ht="15">
      <c r="A908" s="740"/>
      <c r="B908" s="534" t="s">
        <v>5710</v>
      </c>
      <c r="C908" s="164"/>
      <c r="D908" s="444"/>
      <c r="E908" s="647"/>
      <c r="H908" s="283"/>
      <c r="I908" s="283"/>
      <c r="K908" s="283"/>
      <c r="L908" s="283"/>
      <c r="M908" s="283"/>
      <c r="N908" s="283"/>
      <c r="O908" s="815"/>
      <c r="P908" s="164"/>
      <c r="Q908" s="351"/>
      <c r="R908" s="351"/>
      <c r="S908" s="933">
        <v>600000</v>
      </c>
      <c r="T908" s="933"/>
      <c r="U908" s="933"/>
      <c r="X908" s="16"/>
      <c r="Y908" s="16"/>
    </row>
    <row r="909" spans="1:25" s="42" customFormat="1" ht="15">
      <c r="A909" s="740"/>
      <c r="B909" s="534" t="s">
        <v>5710</v>
      </c>
      <c r="C909" s="164"/>
      <c r="D909" s="444"/>
      <c r="E909" s="647"/>
      <c r="H909" s="283"/>
      <c r="I909" s="283"/>
      <c r="K909" s="283"/>
      <c r="L909" s="283"/>
      <c r="M909" s="283"/>
      <c r="N909" s="283"/>
      <c r="O909" s="815"/>
      <c r="P909" s="164"/>
      <c r="Q909" s="351"/>
      <c r="R909" s="351"/>
      <c r="S909" s="933">
        <v>0</v>
      </c>
      <c r="T909" s="933"/>
      <c r="U909" s="933"/>
      <c r="X909" s="16"/>
      <c r="Y909" s="16"/>
    </row>
    <row r="910" spans="1:25" s="42" customFormat="1" ht="15">
      <c r="A910" s="740"/>
      <c r="B910" s="534" t="s">
        <v>4220</v>
      </c>
      <c r="C910" s="164"/>
      <c r="D910" s="444"/>
      <c r="E910" s="647"/>
      <c r="H910" s="283"/>
      <c r="I910" s="283"/>
      <c r="K910" s="283"/>
      <c r="L910" s="283"/>
      <c r="M910" s="283"/>
      <c r="N910" s="283"/>
      <c r="O910" s="815"/>
      <c r="P910" s="164"/>
      <c r="Q910" s="351"/>
      <c r="R910" s="351"/>
      <c r="S910" s="933">
        <v>698321.75</v>
      </c>
      <c r="T910" s="933"/>
      <c r="U910" s="933"/>
      <c r="X910" s="16"/>
      <c r="Y910" s="16"/>
    </row>
    <row r="911" spans="1:25" s="42" customFormat="1" ht="15">
      <c r="A911" s="740"/>
      <c r="B911" s="534" t="s">
        <v>4220</v>
      </c>
      <c r="C911" s="164"/>
      <c r="D911" s="444"/>
      <c r="E911" s="647"/>
      <c r="H911" s="283"/>
      <c r="I911" s="283"/>
      <c r="K911" s="283"/>
      <c r="L911" s="283"/>
      <c r="M911" s="283"/>
      <c r="N911" s="283"/>
      <c r="O911" s="815"/>
      <c r="P911" s="164"/>
      <c r="Q911" s="351"/>
      <c r="R911" s="351"/>
      <c r="S911" s="933">
        <v>0</v>
      </c>
      <c r="T911" s="933"/>
      <c r="U911" s="933"/>
      <c r="X911" s="16"/>
      <c r="Y911" s="16"/>
    </row>
    <row r="912" spans="1:25" s="42" customFormat="1" ht="15">
      <c r="A912" s="740"/>
      <c r="B912" s="534" t="s">
        <v>5710</v>
      </c>
      <c r="C912" s="164"/>
      <c r="D912" s="444"/>
      <c r="E912" s="647"/>
      <c r="H912" s="283"/>
      <c r="I912" s="283"/>
      <c r="K912" s="283"/>
      <c r="L912" s="283"/>
      <c r="M912" s="283"/>
      <c r="N912" s="283"/>
      <c r="O912" s="815"/>
      <c r="P912" s="164"/>
      <c r="Q912" s="351"/>
      <c r="R912" s="351"/>
      <c r="S912" s="933">
        <v>0</v>
      </c>
      <c r="T912" s="933"/>
      <c r="U912" s="933"/>
      <c r="X912" s="16"/>
      <c r="Y912" s="16"/>
    </row>
    <row r="913" spans="1:25" s="42" customFormat="1" ht="15">
      <c r="A913" s="740"/>
      <c r="B913" s="534" t="s">
        <v>5710</v>
      </c>
      <c r="C913" s="164"/>
      <c r="D913" s="444"/>
      <c r="E913" s="647"/>
      <c r="H913" s="283"/>
      <c r="I913" s="283"/>
      <c r="K913" s="283"/>
      <c r="L913" s="283"/>
      <c r="M913" s="283"/>
      <c r="N913" s="283"/>
      <c r="O913" s="815"/>
      <c r="P913" s="164"/>
      <c r="Q913" s="351"/>
      <c r="R913" s="351"/>
      <c r="S913" s="933">
        <v>0</v>
      </c>
      <c r="T913" s="933"/>
      <c r="U913" s="933"/>
      <c r="X913" s="16"/>
      <c r="Y913" s="16"/>
    </row>
    <row r="914" spans="1:25" s="42" customFormat="1" ht="15">
      <c r="A914" s="740"/>
      <c r="B914" s="534" t="s">
        <v>4220</v>
      </c>
      <c r="C914" s="164"/>
      <c r="D914" s="444"/>
      <c r="E914" s="647"/>
      <c r="H914" s="283"/>
      <c r="I914" s="283"/>
      <c r="K914" s="283"/>
      <c r="L914" s="283"/>
      <c r="M914" s="283"/>
      <c r="N914" s="283"/>
      <c r="O914" s="815"/>
      <c r="P914" s="164"/>
      <c r="Q914" s="351"/>
      <c r="R914" s="351"/>
      <c r="S914" s="933">
        <v>900000</v>
      </c>
      <c r="T914" s="933"/>
      <c r="U914" s="933"/>
      <c r="X914" s="16"/>
      <c r="Y914" s="16"/>
    </row>
    <row r="915" spans="1:25" s="42" customFormat="1" ht="15">
      <c r="A915" s="740"/>
      <c r="B915" s="534" t="s">
        <v>5710</v>
      </c>
      <c r="C915" s="164"/>
      <c r="D915" s="444"/>
      <c r="E915" s="647"/>
      <c r="H915" s="283"/>
      <c r="I915" s="283"/>
      <c r="K915" s="283"/>
      <c r="L915" s="283"/>
      <c r="M915" s="283"/>
      <c r="N915" s="283"/>
      <c r="O915" s="815"/>
      <c r="P915" s="164"/>
      <c r="Q915" s="351"/>
      <c r="R915" s="351"/>
      <c r="S915" s="933">
        <v>0</v>
      </c>
      <c r="T915" s="933"/>
      <c r="U915" s="933"/>
      <c r="X915" s="16"/>
      <c r="Y915" s="16"/>
    </row>
    <row r="916" spans="1:25" s="42" customFormat="1" ht="15">
      <c r="A916" s="740"/>
      <c r="B916" s="534" t="s">
        <v>5710</v>
      </c>
      <c r="C916" s="164"/>
      <c r="D916" s="444"/>
      <c r="E916" s="647"/>
      <c r="H916" s="283"/>
      <c r="I916" s="283"/>
      <c r="K916" s="283"/>
      <c r="L916" s="283"/>
      <c r="M916" s="283"/>
      <c r="N916" s="283"/>
      <c r="O916" s="815"/>
      <c r="P916" s="164"/>
      <c r="Q916" s="351"/>
      <c r="R916" s="351"/>
      <c r="S916" s="933">
        <v>0</v>
      </c>
      <c r="T916" s="933"/>
      <c r="U916" s="933"/>
      <c r="X916" s="16"/>
      <c r="Y916" s="16"/>
    </row>
    <row r="917" spans="1:25" s="42" customFormat="1" ht="15">
      <c r="A917" s="740"/>
      <c r="B917" s="534" t="s">
        <v>5711</v>
      </c>
      <c r="C917" s="164"/>
      <c r="D917" s="444"/>
      <c r="E917" s="647"/>
      <c r="H917" s="283"/>
      <c r="I917" s="283"/>
      <c r="K917" s="283"/>
      <c r="L917" s="283"/>
      <c r="M917" s="283"/>
      <c r="N917" s="283"/>
      <c r="O917" s="815"/>
      <c r="P917" s="164"/>
      <c r="Q917" s="351"/>
      <c r="R917" s="351"/>
      <c r="S917" s="933">
        <v>0</v>
      </c>
      <c r="T917" s="933"/>
      <c r="U917" s="933"/>
      <c r="X917" s="16"/>
      <c r="Y917" s="16"/>
    </row>
    <row r="918" spans="1:25" s="42" customFormat="1" ht="15">
      <c r="A918" s="740"/>
      <c r="B918" s="534" t="s">
        <v>5711</v>
      </c>
      <c r="C918" s="164"/>
      <c r="D918" s="444"/>
      <c r="E918" s="647"/>
      <c r="H918" s="283"/>
      <c r="I918" s="283"/>
      <c r="K918" s="283"/>
      <c r="L918" s="283"/>
      <c r="M918" s="283"/>
      <c r="N918" s="283"/>
      <c r="O918" s="815"/>
      <c r="P918" s="164"/>
      <c r="Q918" s="351"/>
      <c r="R918" s="351"/>
      <c r="S918" s="933">
        <v>0</v>
      </c>
      <c r="T918" s="933"/>
      <c r="U918" s="933"/>
      <c r="X918" s="16"/>
      <c r="Y918" s="16"/>
    </row>
    <row r="919" spans="1:25" s="42" customFormat="1" ht="15">
      <c r="A919" s="740"/>
      <c r="B919" s="534" t="s">
        <v>5710</v>
      </c>
      <c r="C919" s="164"/>
      <c r="D919" s="444"/>
      <c r="E919" s="647"/>
      <c r="H919" s="283"/>
      <c r="I919" s="283"/>
      <c r="K919" s="283"/>
      <c r="L919" s="283"/>
      <c r="M919" s="283"/>
      <c r="N919" s="283"/>
      <c r="O919" s="815"/>
      <c r="P919" s="164"/>
      <c r="Q919" s="351"/>
      <c r="R919" s="351"/>
      <c r="S919" s="933">
        <v>0</v>
      </c>
      <c r="T919" s="933"/>
      <c r="U919" s="933"/>
      <c r="X919" s="16"/>
      <c r="Y919" s="16"/>
    </row>
    <row r="920" spans="1:25" s="42" customFormat="1" ht="15">
      <c r="A920" s="740"/>
      <c r="B920" s="534" t="s">
        <v>4220</v>
      </c>
      <c r="C920" s="164"/>
      <c r="D920" s="444"/>
      <c r="E920" s="647"/>
      <c r="H920" s="283"/>
      <c r="I920" s="283"/>
      <c r="K920" s="283"/>
      <c r="L920" s="283"/>
      <c r="M920" s="283"/>
      <c r="N920" s="283"/>
      <c r="O920" s="815"/>
      <c r="P920" s="164"/>
      <c r="Q920" s="351"/>
      <c r="R920" s="351"/>
      <c r="S920" s="933">
        <v>600000</v>
      </c>
      <c r="T920" s="933"/>
      <c r="U920" s="933"/>
      <c r="X920" s="16"/>
      <c r="Y920" s="16"/>
    </row>
    <row r="921" spans="1:25" s="42" customFormat="1" ht="15">
      <c r="A921" s="740"/>
      <c r="B921" s="534" t="s">
        <v>4220</v>
      </c>
      <c r="C921" s="164"/>
      <c r="D921" s="444"/>
      <c r="E921" s="647"/>
      <c r="H921" s="283"/>
      <c r="I921" s="283"/>
      <c r="K921" s="283"/>
      <c r="L921" s="283"/>
      <c r="M921" s="283"/>
      <c r="N921" s="283"/>
      <c r="O921" s="815"/>
      <c r="P921" s="164"/>
      <c r="Q921" s="351"/>
      <c r="R921" s="351"/>
      <c r="S921" s="933">
        <v>0</v>
      </c>
      <c r="T921" s="933"/>
      <c r="U921" s="933"/>
      <c r="X921" s="16"/>
      <c r="Y921" s="16"/>
    </row>
    <row r="922" spans="1:25" s="42" customFormat="1" ht="15">
      <c r="A922" s="740"/>
      <c r="B922" s="534" t="s">
        <v>4220</v>
      </c>
      <c r="C922" s="164"/>
      <c r="D922" s="444"/>
      <c r="E922" s="647"/>
      <c r="H922" s="283"/>
      <c r="I922" s="283"/>
      <c r="K922" s="283"/>
      <c r="L922" s="283"/>
      <c r="M922" s="283"/>
      <c r="N922" s="283"/>
      <c r="O922" s="815"/>
      <c r="P922" s="164"/>
      <c r="Q922" s="351"/>
      <c r="R922" s="351"/>
      <c r="S922" s="933">
        <v>0</v>
      </c>
      <c r="T922" s="933"/>
      <c r="U922" s="933"/>
      <c r="X922" s="16"/>
      <c r="Y922" s="16"/>
    </row>
    <row r="923" spans="1:25" s="42" customFormat="1" ht="15">
      <c r="A923" s="740"/>
      <c r="B923" s="534" t="s">
        <v>3541</v>
      </c>
      <c r="C923" s="164"/>
      <c r="D923" s="444"/>
      <c r="E923" s="647"/>
      <c r="H923" s="283"/>
      <c r="I923" s="283"/>
      <c r="K923" s="283"/>
      <c r="L923" s="283"/>
      <c r="M923" s="283"/>
      <c r="N923" s="283"/>
      <c r="O923" s="815"/>
      <c r="P923" s="164"/>
      <c r="Q923" s="351"/>
      <c r="R923" s="351"/>
      <c r="S923" s="933">
        <v>649882.21</v>
      </c>
      <c r="T923" s="933"/>
      <c r="U923" s="933"/>
      <c r="X923" s="16"/>
      <c r="Y923" s="16"/>
    </row>
    <row r="924" spans="1:25" s="42" customFormat="1" ht="15">
      <c r="A924" s="740"/>
      <c r="B924" s="534" t="s">
        <v>4220</v>
      </c>
      <c r="C924" s="164"/>
      <c r="D924" s="444"/>
      <c r="E924" s="647"/>
      <c r="H924" s="283"/>
      <c r="I924" s="283"/>
      <c r="K924" s="283"/>
      <c r="L924" s="283"/>
      <c r="M924" s="283"/>
      <c r="N924" s="283"/>
      <c r="O924" s="815"/>
      <c r="P924" s="164"/>
      <c r="Q924" s="351"/>
      <c r="R924" s="351"/>
      <c r="S924" s="933">
        <v>1000000</v>
      </c>
      <c r="T924" s="933"/>
      <c r="U924" s="933"/>
      <c r="X924" s="16"/>
      <c r="Y924" s="16"/>
    </row>
    <row r="925" spans="1:25" s="42" customFormat="1" ht="15">
      <c r="A925" s="740"/>
      <c r="B925" s="534" t="s">
        <v>5710</v>
      </c>
      <c r="C925" s="164"/>
      <c r="D925" s="444"/>
      <c r="E925" s="647"/>
      <c r="H925" s="283"/>
      <c r="I925" s="283"/>
      <c r="K925" s="283"/>
      <c r="L925" s="283"/>
      <c r="M925" s="283"/>
      <c r="N925" s="283"/>
      <c r="O925" s="815"/>
      <c r="P925" s="164"/>
      <c r="Q925" s="351"/>
      <c r="R925" s="351"/>
      <c r="S925" s="933">
        <v>1000000</v>
      </c>
      <c r="T925" s="933"/>
      <c r="U925" s="933"/>
      <c r="X925" s="16"/>
      <c r="Y925" s="16"/>
    </row>
    <row r="926" spans="1:25" s="42" customFormat="1" ht="15">
      <c r="A926" s="740"/>
      <c r="B926" s="534" t="s">
        <v>5710</v>
      </c>
      <c r="C926" s="164"/>
      <c r="D926" s="444"/>
      <c r="E926" s="647"/>
      <c r="H926" s="283"/>
      <c r="I926" s="283"/>
      <c r="K926" s="283"/>
      <c r="L926" s="283"/>
      <c r="M926" s="283"/>
      <c r="N926" s="283"/>
      <c r="O926" s="815"/>
      <c r="P926" s="164"/>
      <c r="Q926" s="351"/>
      <c r="R926" s="351"/>
      <c r="S926" s="933">
        <v>0</v>
      </c>
      <c r="T926" s="933"/>
      <c r="U926" s="933"/>
      <c r="X926" s="16"/>
      <c r="Y926" s="16"/>
    </row>
    <row r="927" spans="1:25" s="42" customFormat="1" ht="15">
      <c r="A927" s="740"/>
      <c r="B927" s="534" t="s">
        <v>4220</v>
      </c>
      <c r="C927" s="164"/>
      <c r="D927" s="444"/>
      <c r="E927" s="647"/>
      <c r="H927" s="283"/>
      <c r="I927" s="283"/>
      <c r="K927" s="283"/>
      <c r="L927" s="283"/>
      <c r="M927" s="283"/>
      <c r="N927" s="283"/>
      <c r="O927" s="815"/>
      <c r="P927" s="164"/>
      <c r="Q927" s="351"/>
      <c r="R927" s="351"/>
      <c r="S927" s="933">
        <v>0</v>
      </c>
      <c r="T927" s="933"/>
      <c r="U927" s="933"/>
      <c r="X927" s="16"/>
      <c r="Y927" s="16"/>
    </row>
    <row r="928" spans="1:25" s="42" customFormat="1" ht="15">
      <c r="A928" s="740"/>
      <c r="B928" s="534" t="s">
        <v>5710</v>
      </c>
      <c r="C928" s="164"/>
      <c r="D928" s="444"/>
      <c r="E928" s="647"/>
      <c r="H928" s="283"/>
      <c r="I928" s="283"/>
      <c r="K928" s="283"/>
      <c r="L928" s="283"/>
      <c r="M928" s="283"/>
      <c r="N928" s="283"/>
      <c r="O928" s="815"/>
      <c r="P928" s="164"/>
      <c r="Q928" s="351"/>
      <c r="R928" s="351"/>
      <c r="S928" s="933">
        <v>1000000</v>
      </c>
      <c r="T928" s="933"/>
      <c r="U928" s="933"/>
      <c r="X928" s="16"/>
      <c r="Y928" s="16"/>
    </row>
    <row r="929" spans="1:25" s="42" customFormat="1" ht="15">
      <c r="A929" s="740"/>
      <c r="B929" s="534" t="s">
        <v>5710</v>
      </c>
      <c r="C929" s="164"/>
      <c r="D929" s="444"/>
      <c r="E929" s="647"/>
      <c r="H929" s="283"/>
      <c r="I929" s="283"/>
      <c r="K929" s="283"/>
      <c r="L929" s="283"/>
      <c r="M929" s="283"/>
      <c r="N929" s="283"/>
      <c r="O929" s="815"/>
      <c r="P929" s="164"/>
      <c r="Q929" s="351"/>
      <c r="R929" s="351"/>
      <c r="S929" s="933">
        <v>0</v>
      </c>
      <c r="T929" s="933"/>
      <c r="U929" s="933"/>
      <c r="X929" s="16"/>
      <c r="Y929" s="16"/>
    </row>
    <row r="930" spans="1:25" s="42" customFormat="1" ht="15">
      <c r="A930" s="740"/>
      <c r="B930" s="534" t="s">
        <v>3541</v>
      </c>
      <c r="C930" s="164"/>
      <c r="D930" s="444"/>
      <c r="E930" s="647"/>
      <c r="H930" s="283"/>
      <c r="I930" s="283"/>
      <c r="K930" s="283"/>
      <c r="L930" s="283"/>
      <c r="M930" s="283"/>
      <c r="N930" s="283"/>
      <c r="O930" s="815"/>
      <c r="P930" s="164"/>
      <c r="Q930" s="351"/>
      <c r="R930" s="351"/>
      <c r="S930" s="933">
        <v>0</v>
      </c>
      <c r="T930" s="933"/>
      <c r="U930" s="933"/>
      <c r="X930" s="16"/>
      <c r="Y930" s="16"/>
    </row>
    <row r="931" spans="1:25" s="42" customFormat="1" ht="15">
      <c r="A931" s="740"/>
      <c r="B931" s="534" t="s">
        <v>5710</v>
      </c>
      <c r="C931" s="164"/>
      <c r="D931" s="444"/>
      <c r="E931" s="647"/>
      <c r="H931" s="283"/>
      <c r="I931" s="283"/>
      <c r="K931" s="283"/>
      <c r="L931" s="283"/>
      <c r="M931" s="283"/>
      <c r="N931" s="283"/>
      <c r="O931" s="815"/>
      <c r="P931" s="164"/>
      <c r="Q931" s="351"/>
      <c r="R931" s="351"/>
      <c r="S931" s="933">
        <v>15000000</v>
      </c>
      <c r="T931" s="933"/>
      <c r="U931" s="933"/>
      <c r="X931" s="16"/>
      <c r="Y931" s="16"/>
    </row>
    <row r="932" spans="1:25" s="42" customFormat="1" ht="15">
      <c r="A932" s="740"/>
      <c r="B932" s="534"/>
      <c r="C932" s="164"/>
      <c r="D932" s="444"/>
      <c r="E932" s="647"/>
      <c r="H932" s="283"/>
      <c r="I932" s="283"/>
      <c r="K932" s="283"/>
      <c r="L932" s="283"/>
      <c r="M932" s="283"/>
      <c r="N932" s="283"/>
      <c r="O932" s="815"/>
      <c r="P932" s="164"/>
      <c r="Q932" s="351"/>
      <c r="R932" s="351"/>
      <c r="S932" s="933"/>
      <c r="T932" s="933"/>
      <c r="U932" s="933"/>
      <c r="X932" s="16"/>
      <c r="Y932" s="16"/>
    </row>
    <row r="933" spans="1:25" s="42" customFormat="1" ht="15">
      <c r="A933" s="740"/>
      <c r="B933" s="446" t="s">
        <v>1648</v>
      </c>
      <c r="C933" s="164" t="s">
        <v>2283</v>
      </c>
      <c r="D933" s="444">
        <v>40876</v>
      </c>
      <c r="E933" s="647"/>
      <c r="F933" s="42" t="s">
        <v>315</v>
      </c>
      <c r="H933" s="283"/>
      <c r="I933" s="283"/>
      <c r="K933" s="283">
        <v>64100</v>
      </c>
      <c r="L933" s="283"/>
      <c r="M933" s="283">
        <f t="shared" si="98"/>
        <v>64100</v>
      </c>
      <c r="N933" s="283"/>
      <c r="O933" s="815"/>
      <c r="P933" s="164" t="s">
        <v>104</v>
      </c>
      <c r="Q933" s="522">
        <f>SUM(Q934:Q967)</f>
        <v>64100</v>
      </c>
      <c r="R933" s="522">
        <f>SUM(R934:R967)</f>
        <v>64100</v>
      </c>
      <c r="S933" s="933"/>
      <c r="T933" s="933"/>
      <c r="U933" s="933"/>
      <c r="W933" s="42" t="s">
        <v>2002</v>
      </c>
      <c r="X933" s="16">
        <f t="shared" si="97"/>
        <v>64100</v>
      </c>
      <c r="Y933" s="16">
        <f>X933-M933</f>
        <v>0</v>
      </c>
    </row>
    <row r="934" spans="1:25" s="42" customFormat="1" ht="15">
      <c r="A934" s="740"/>
      <c r="B934" s="534" t="s">
        <v>2284</v>
      </c>
      <c r="C934" s="164"/>
      <c r="D934" s="444"/>
      <c r="E934" s="108"/>
      <c r="H934" s="283"/>
      <c r="I934" s="283"/>
      <c r="K934" s="283"/>
      <c r="L934" s="283"/>
      <c r="M934" s="283"/>
      <c r="N934" s="283"/>
      <c r="O934" s="815"/>
      <c r="P934" s="164"/>
      <c r="Q934" s="529">
        <v>1000</v>
      </c>
      <c r="R934" s="529">
        <v>1000</v>
      </c>
      <c r="S934" s="933"/>
      <c r="T934" s="933"/>
      <c r="U934" s="933"/>
      <c r="X934" s="16"/>
      <c r="Y934" s="16"/>
    </row>
    <row r="935" spans="1:25" s="42" customFormat="1" ht="15">
      <c r="A935" s="740"/>
      <c r="B935" s="534" t="s">
        <v>2285</v>
      </c>
      <c r="C935" s="164"/>
      <c r="D935" s="444"/>
      <c r="E935" s="108"/>
      <c r="H935" s="283"/>
      <c r="I935" s="283"/>
      <c r="K935" s="283"/>
      <c r="L935" s="283"/>
      <c r="M935" s="283"/>
      <c r="N935" s="283"/>
      <c r="O935" s="815"/>
      <c r="P935" s="164"/>
      <c r="Q935" s="529">
        <v>2000</v>
      </c>
      <c r="R935" s="529">
        <v>2000</v>
      </c>
      <c r="S935" s="933"/>
      <c r="T935" s="933"/>
      <c r="U935" s="933"/>
      <c r="X935" s="16"/>
      <c r="Y935" s="16"/>
    </row>
    <row r="936" spans="1:25" s="42" customFormat="1" ht="15">
      <c r="A936" s="740"/>
      <c r="B936" s="534" t="s">
        <v>2286</v>
      </c>
      <c r="C936" s="164"/>
      <c r="D936" s="444"/>
      <c r="E936" s="108"/>
      <c r="H936" s="283"/>
      <c r="I936" s="283"/>
      <c r="K936" s="283"/>
      <c r="L936" s="283"/>
      <c r="M936" s="283"/>
      <c r="N936" s="283"/>
      <c r="O936" s="815"/>
      <c r="P936" s="164"/>
      <c r="Q936" s="529">
        <v>1000</v>
      </c>
      <c r="R936" s="529">
        <v>1000</v>
      </c>
      <c r="S936" s="933"/>
      <c r="T936" s="933"/>
      <c r="U936" s="933"/>
      <c r="X936" s="16"/>
      <c r="Y936" s="16"/>
    </row>
    <row r="937" spans="1:25" s="42" customFormat="1" ht="15">
      <c r="A937" s="740"/>
      <c r="B937" s="534" t="s">
        <v>2287</v>
      </c>
      <c r="C937" s="164"/>
      <c r="D937" s="444"/>
      <c r="E937" s="108"/>
      <c r="H937" s="283"/>
      <c r="I937" s="283"/>
      <c r="K937" s="283"/>
      <c r="L937" s="283"/>
      <c r="M937" s="283"/>
      <c r="N937" s="283"/>
      <c r="O937" s="815"/>
      <c r="P937" s="164"/>
      <c r="Q937" s="529">
        <v>2000</v>
      </c>
      <c r="R937" s="529">
        <v>2000</v>
      </c>
      <c r="S937" s="933"/>
      <c r="T937" s="933"/>
      <c r="U937" s="933"/>
      <c r="X937" s="16"/>
      <c r="Y937" s="16"/>
    </row>
    <row r="938" spans="1:25" s="42" customFormat="1" ht="15">
      <c r="A938" s="740"/>
      <c r="B938" s="534" t="s">
        <v>2288</v>
      </c>
      <c r="C938" s="164"/>
      <c r="D938" s="444"/>
      <c r="E938" s="108"/>
      <c r="H938" s="283"/>
      <c r="I938" s="283"/>
      <c r="K938" s="283"/>
      <c r="L938" s="283"/>
      <c r="M938" s="283"/>
      <c r="N938" s="283"/>
      <c r="O938" s="815"/>
      <c r="P938" s="164"/>
      <c r="Q938" s="529">
        <v>1000</v>
      </c>
      <c r="R938" s="529">
        <v>1000</v>
      </c>
      <c r="S938" s="933"/>
      <c r="T938" s="933"/>
      <c r="U938" s="933"/>
      <c r="X938" s="16"/>
      <c r="Y938" s="16"/>
    </row>
    <row r="939" spans="1:25" s="42" customFormat="1" ht="15">
      <c r="A939" s="740"/>
      <c r="B939" s="534" t="s">
        <v>2289</v>
      </c>
      <c r="C939" s="164"/>
      <c r="D939" s="444"/>
      <c r="E939" s="108"/>
      <c r="H939" s="283"/>
      <c r="I939" s="283"/>
      <c r="K939" s="283"/>
      <c r="L939" s="283"/>
      <c r="M939" s="283"/>
      <c r="N939" s="283"/>
      <c r="O939" s="815"/>
      <c r="P939" s="164"/>
      <c r="Q939" s="529">
        <v>700</v>
      </c>
      <c r="R939" s="529">
        <v>700</v>
      </c>
      <c r="S939" s="933"/>
      <c r="T939" s="933"/>
      <c r="U939" s="933"/>
      <c r="X939" s="16"/>
      <c r="Y939" s="16"/>
    </row>
    <row r="940" spans="1:25" s="42" customFormat="1" ht="15">
      <c r="A940" s="740"/>
      <c r="B940" s="534" t="s">
        <v>2290</v>
      </c>
      <c r="C940" s="164"/>
      <c r="D940" s="444"/>
      <c r="E940" s="108"/>
      <c r="H940" s="283"/>
      <c r="I940" s="283"/>
      <c r="K940" s="283"/>
      <c r="L940" s="283"/>
      <c r="M940" s="283"/>
      <c r="N940" s="283"/>
      <c r="O940" s="815"/>
      <c r="P940" s="164"/>
      <c r="Q940" s="529">
        <v>500</v>
      </c>
      <c r="R940" s="529">
        <v>500</v>
      </c>
      <c r="S940" s="933"/>
      <c r="T940" s="933"/>
      <c r="U940" s="933"/>
      <c r="X940" s="16"/>
      <c r="Y940" s="16"/>
    </row>
    <row r="941" spans="1:25" s="42" customFormat="1" ht="15">
      <c r="A941" s="740"/>
      <c r="B941" s="534" t="s">
        <v>2291</v>
      </c>
      <c r="C941" s="164"/>
      <c r="D941" s="444"/>
      <c r="E941" s="108"/>
      <c r="H941" s="283"/>
      <c r="I941" s="283"/>
      <c r="K941" s="283"/>
      <c r="L941" s="283"/>
      <c r="M941" s="283"/>
      <c r="N941" s="283"/>
      <c r="O941" s="815"/>
      <c r="P941" s="164"/>
      <c r="Q941" s="529">
        <v>600</v>
      </c>
      <c r="R941" s="529">
        <v>600</v>
      </c>
      <c r="S941" s="933"/>
      <c r="T941" s="933"/>
      <c r="U941" s="933"/>
      <c r="X941" s="16"/>
      <c r="Y941" s="16"/>
    </row>
    <row r="942" spans="1:25" s="42" customFormat="1" ht="15">
      <c r="A942" s="740"/>
      <c r="B942" s="534" t="s">
        <v>2292</v>
      </c>
      <c r="C942" s="164"/>
      <c r="D942" s="444"/>
      <c r="E942" s="108"/>
      <c r="H942" s="283"/>
      <c r="I942" s="283"/>
      <c r="K942" s="283"/>
      <c r="L942" s="283"/>
      <c r="M942" s="283"/>
      <c r="N942" s="283"/>
      <c r="O942" s="815"/>
      <c r="P942" s="164"/>
      <c r="Q942" s="529">
        <v>600</v>
      </c>
      <c r="R942" s="529">
        <v>600</v>
      </c>
      <c r="S942" s="933"/>
      <c r="T942" s="933"/>
      <c r="U942" s="933"/>
      <c r="X942" s="16"/>
      <c r="Y942" s="16"/>
    </row>
    <row r="943" spans="1:25" s="42" customFormat="1" ht="15">
      <c r="A943" s="740"/>
      <c r="B943" s="534" t="s">
        <v>2293</v>
      </c>
      <c r="C943" s="164"/>
      <c r="D943" s="444"/>
      <c r="E943" s="108"/>
      <c r="H943" s="283"/>
      <c r="I943" s="283"/>
      <c r="K943" s="283"/>
      <c r="L943" s="283"/>
      <c r="M943" s="283"/>
      <c r="N943" s="283"/>
      <c r="O943" s="815"/>
      <c r="P943" s="164"/>
      <c r="Q943" s="529">
        <v>700</v>
      </c>
      <c r="R943" s="529">
        <v>700</v>
      </c>
      <c r="S943" s="933"/>
      <c r="T943" s="933"/>
      <c r="U943" s="933"/>
      <c r="X943" s="16"/>
      <c r="Y943" s="16"/>
    </row>
    <row r="944" spans="1:25" s="42" customFormat="1" ht="15">
      <c r="A944" s="740"/>
      <c r="B944" s="534" t="s">
        <v>2294</v>
      </c>
      <c r="C944" s="164"/>
      <c r="D944" s="444"/>
      <c r="E944" s="108"/>
      <c r="H944" s="283"/>
      <c r="I944" s="283"/>
      <c r="K944" s="283"/>
      <c r="L944" s="283"/>
      <c r="M944" s="283"/>
      <c r="N944" s="283"/>
      <c r="O944" s="815"/>
      <c r="P944" s="164"/>
      <c r="Q944" s="529">
        <v>800</v>
      </c>
      <c r="R944" s="529">
        <v>800</v>
      </c>
      <c r="S944" s="933"/>
      <c r="T944" s="933"/>
      <c r="U944" s="933"/>
      <c r="X944" s="16"/>
      <c r="Y944" s="16"/>
    </row>
    <row r="945" spans="1:25" s="42" customFormat="1" ht="15">
      <c r="A945" s="740"/>
      <c r="B945" s="534" t="s">
        <v>2295</v>
      </c>
      <c r="C945" s="164"/>
      <c r="D945" s="444"/>
      <c r="E945" s="108"/>
      <c r="H945" s="283"/>
      <c r="I945" s="283"/>
      <c r="K945" s="283"/>
      <c r="L945" s="283"/>
      <c r="M945" s="283"/>
      <c r="N945" s="283"/>
      <c r="O945" s="815"/>
      <c r="P945" s="164"/>
      <c r="Q945" s="529">
        <v>700</v>
      </c>
      <c r="R945" s="529">
        <v>700</v>
      </c>
      <c r="S945" s="933"/>
      <c r="T945" s="933"/>
      <c r="U945" s="933"/>
      <c r="X945" s="16"/>
      <c r="Y945" s="16"/>
    </row>
    <row r="946" spans="1:25" s="42" customFormat="1" ht="15">
      <c r="A946" s="740"/>
      <c r="B946" s="534" t="s">
        <v>2296</v>
      </c>
      <c r="C946" s="164"/>
      <c r="D946" s="444"/>
      <c r="E946" s="108"/>
      <c r="H946" s="283"/>
      <c r="I946" s="283"/>
      <c r="K946" s="283"/>
      <c r="L946" s="283"/>
      <c r="M946" s="283"/>
      <c r="N946" s="283"/>
      <c r="O946" s="815"/>
      <c r="P946" s="164"/>
      <c r="Q946" s="529">
        <v>600</v>
      </c>
      <c r="R946" s="529">
        <v>600</v>
      </c>
      <c r="S946" s="933"/>
      <c r="T946" s="933"/>
      <c r="U946" s="933"/>
      <c r="X946" s="16"/>
      <c r="Y946" s="16"/>
    </row>
    <row r="947" spans="1:25" s="42" customFormat="1" ht="15">
      <c r="A947" s="740"/>
      <c r="B947" s="534" t="s">
        <v>2297</v>
      </c>
      <c r="C947" s="164"/>
      <c r="D947" s="444"/>
      <c r="E947" s="108"/>
      <c r="H947" s="283"/>
      <c r="I947" s="283"/>
      <c r="K947" s="283"/>
      <c r="L947" s="283"/>
      <c r="M947" s="283"/>
      <c r="N947" s="283"/>
      <c r="O947" s="815"/>
      <c r="P947" s="164"/>
      <c r="Q947" s="529">
        <v>700</v>
      </c>
      <c r="R947" s="529">
        <v>700</v>
      </c>
      <c r="S947" s="933"/>
      <c r="T947" s="933"/>
      <c r="U947" s="933"/>
      <c r="X947" s="16"/>
      <c r="Y947" s="16"/>
    </row>
    <row r="948" spans="1:25" s="42" customFormat="1" ht="15">
      <c r="A948" s="740"/>
      <c r="B948" s="534" t="s">
        <v>2298</v>
      </c>
      <c r="C948" s="164"/>
      <c r="D948" s="444"/>
      <c r="E948" s="108"/>
      <c r="H948" s="283"/>
      <c r="I948" s="283"/>
      <c r="K948" s="283"/>
      <c r="L948" s="283"/>
      <c r="M948" s="283"/>
      <c r="N948" s="283"/>
      <c r="O948" s="815"/>
      <c r="P948" s="164"/>
      <c r="Q948" s="529">
        <v>700</v>
      </c>
      <c r="R948" s="529">
        <v>700</v>
      </c>
      <c r="S948" s="933"/>
      <c r="T948" s="933"/>
      <c r="U948" s="933"/>
      <c r="X948" s="16"/>
      <c r="Y948" s="16"/>
    </row>
    <row r="949" spans="1:25" s="42" customFormat="1" ht="15">
      <c r="A949" s="740"/>
      <c r="B949" s="534" t="s">
        <v>2299</v>
      </c>
      <c r="C949" s="164"/>
      <c r="D949" s="444"/>
      <c r="E949" s="108"/>
      <c r="H949" s="283"/>
      <c r="I949" s="283"/>
      <c r="K949" s="283"/>
      <c r="L949" s="283"/>
      <c r="M949" s="283"/>
      <c r="N949" s="283"/>
      <c r="O949" s="815"/>
      <c r="P949" s="164"/>
      <c r="Q949" s="529">
        <v>20000</v>
      </c>
      <c r="R949" s="529">
        <v>20000</v>
      </c>
      <c r="S949" s="933"/>
      <c r="T949" s="933"/>
      <c r="U949" s="933"/>
      <c r="X949" s="16"/>
      <c r="Y949" s="16"/>
    </row>
    <row r="950" spans="1:25" s="42" customFormat="1" ht="15">
      <c r="A950" s="740"/>
      <c r="B950" s="534" t="s">
        <v>2300</v>
      </c>
      <c r="C950" s="164"/>
      <c r="D950" s="444"/>
      <c r="E950" s="108"/>
      <c r="H950" s="283"/>
      <c r="I950" s="283"/>
      <c r="K950" s="283"/>
      <c r="L950" s="283"/>
      <c r="M950" s="283"/>
      <c r="N950" s="283"/>
      <c r="O950" s="815"/>
      <c r="P950" s="164"/>
      <c r="Q950" s="529">
        <v>700</v>
      </c>
      <c r="R950" s="529">
        <v>700</v>
      </c>
      <c r="S950" s="933"/>
      <c r="T950" s="933"/>
      <c r="U950" s="933"/>
      <c r="X950" s="16"/>
      <c r="Y950" s="16"/>
    </row>
    <row r="951" spans="1:25" s="42" customFormat="1" ht="15">
      <c r="A951" s="740"/>
      <c r="B951" s="534" t="s">
        <v>2301</v>
      </c>
      <c r="C951" s="164"/>
      <c r="D951" s="444"/>
      <c r="E951" s="108"/>
      <c r="H951" s="283"/>
      <c r="I951" s="283"/>
      <c r="K951" s="283"/>
      <c r="L951" s="283"/>
      <c r="M951" s="283"/>
      <c r="N951" s="283"/>
      <c r="O951" s="815"/>
      <c r="P951" s="164"/>
      <c r="Q951" s="529">
        <v>600</v>
      </c>
      <c r="R951" s="529">
        <v>600</v>
      </c>
      <c r="S951" s="933"/>
      <c r="T951" s="933"/>
      <c r="U951" s="933"/>
      <c r="X951" s="16"/>
      <c r="Y951" s="16"/>
    </row>
    <row r="952" spans="1:25" s="42" customFormat="1" ht="15">
      <c r="A952" s="740"/>
      <c r="B952" s="534" t="s">
        <v>2302</v>
      </c>
      <c r="C952" s="164"/>
      <c r="D952" s="444"/>
      <c r="E952" s="108"/>
      <c r="H952" s="283"/>
      <c r="I952" s="283"/>
      <c r="K952" s="283"/>
      <c r="L952" s="283"/>
      <c r="M952" s="283"/>
      <c r="N952" s="283"/>
      <c r="O952" s="815"/>
      <c r="P952" s="164"/>
      <c r="Q952" s="529">
        <v>700</v>
      </c>
      <c r="R952" s="529">
        <v>700</v>
      </c>
      <c r="S952" s="933"/>
      <c r="T952" s="933"/>
      <c r="U952" s="933"/>
      <c r="X952" s="16"/>
      <c r="Y952" s="16"/>
    </row>
    <row r="953" spans="1:25" s="42" customFormat="1" ht="15">
      <c r="A953" s="740"/>
      <c r="B953" s="534" t="s">
        <v>2303</v>
      </c>
      <c r="C953" s="164"/>
      <c r="D953" s="444"/>
      <c r="E953" s="108"/>
      <c r="H953" s="283"/>
      <c r="I953" s="283"/>
      <c r="K953" s="283"/>
      <c r="L953" s="283"/>
      <c r="M953" s="283"/>
      <c r="N953" s="283"/>
      <c r="O953" s="815"/>
      <c r="P953" s="164"/>
      <c r="Q953" s="529">
        <v>1000</v>
      </c>
      <c r="R953" s="529">
        <v>1000</v>
      </c>
      <c r="S953" s="933"/>
      <c r="T953" s="933"/>
      <c r="U953" s="933"/>
      <c r="X953" s="16"/>
      <c r="Y953" s="16"/>
    </row>
    <row r="954" spans="1:25" s="42" customFormat="1" ht="15">
      <c r="A954" s="740"/>
      <c r="B954" s="534" t="s">
        <v>2304</v>
      </c>
      <c r="C954" s="164"/>
      <c r="D954" s="444"/>
      <c r="E954" s="108"/>
      <c r="H954" s="283"/>
      <c r="I954" s="283"/>
      <c r="K954" s="283"/>
      <c r="L954" s="283"/>
      <c r="M954" s="283"/>
      <c r="N954" s="283"/>
      <c r="O954" s="815"/>
      <c r="P954" s="164"/>
      <c r="Q954" s="529">
        <v>600</v>
      </c>
      <c r="R954" s="529">
        <v>600</v>
      </c>
      <c r="S954" s="933"/>
      <c r="T954" s="933"/>
      <c r="U954" s="933"/>
      <c r="X954" s="16"/>
      <c r="Y954" s="16"/>
    </row>
    <row r="955" spans="1:25" s="42" customFormat="1" ht="15">
      <c r="A955" s="740"/>
      <c r="B955" s="534" t="s">
        <v>2305</v>
      </c>
      <c r="C955" s="164"/>
      <c r="D955" s="444"/>
      <c r="E955" s="108"/>
      <c r="H955" s="283"/>
      <c r="I955" s="283"/>
      <c r="K955" s="283"/>
      <c r="L955" s="283"/>
      <c r="M955" s="283"/>
      <c r="N955" s="283"/>
      <c r="O955" s="815"/>
      <c r="P955" s="164"/>
      <c r="Q955" s="529">
        <v>400</v>
      </c>
      <c r="R955" s="529">
        <v>400</v>
      </c>
      <c r="S955" s="933"/>
      <c r="T955" s="933"/>
      <c r="U955" s="933"/>
      <c r="X955" s="16"/>
      <c r="Y955" s="16"/>
    </row>
    <row r="956" spans="1:25" s="42" customFormat="1" ht="15">
      <c r="A956" s="740"/>
      <c r="B956" s="534" t="s">
        <v>2306</v>
      </c>
      <c r="C956" s="164"/>
      <c r="D956" s="444"/>
      <c r="E956" s="108"/>
      <c r="H956" s="283"/>
      <c r="I956" s="283"/>
      <c r="K956" s="283"/>
      <c r="L956" s="283"/>
      <c r="M956" s="283"/>
      <c r="N956" s="283"/>
      <c r="O956" s="815"/>
      <c r="P956" s="164"/>
      <c r="Q956" s="529">
        <v>15000</v>
      </c>
      <c r="R956" s="529">
        <v>15000</v>
      </c>
      <c r="S956" s="933"/>
      <c r="T956" s="933"/>
      <c r="U956" s="933"/>
      <c r="X956" s="16"/>
      <c r="Y956" s="16"/>
    </row>
    <row r="957" spans="1:25" s="42" customFormat="1" ht="15">
      <c r="A957" s="740"/>
      <c r="B957" s="534" t="s">
        <v>2307</v>
      </c>
      <c r="C957" s="164"/>
      <c r="D957" s="444"/>
      <c r="E957" s="108"/>
      <c r="H957" s="283"/>
      <c r="I957" s="283"/>
      <c r="K957" s="283"/>
      <c r="L957" s="283"/>
      <c r="M957" s="283"/>
      <c r="N957" s="283"/>
      <c r="O957" s="815"/>
      <c r="P957" s="164"/>
      <c r="Q957" s="529">
        <v>700</v>
      </c>
      <c r="R957" s="529">
        <v>700</v>
      </c>
      <c r="S957" s="933"/>
      <c r="T957" s="933"/>
      <c r="U957" s="933"/>
      <c r="X957" s="16"/>
      <c r="Y957" s="16"/>
    </row>
    <row r="958" spans="1:25" s="42" customFormat="1" ht="15">
      <c r="A958" s="740"/>
      <c r="B958" s="534" t="s">
        <v>2308</v>
      </c>
      <c r="C958" s="164"/>
      <c r="D958" s="444"/>
      <c r="E958" s="108"/>
      <c r="H958" s="283"/>
      <c r="I958" s="283"/>
      <c r="K958" s="283"/>
      <c r="L958" s="283"/>
      <c r="M958" s="283"/>
      <c r="N958" s="283"/>
      <c r="O958" s="815"/>
      <c r="P958" s="164"/>
      <c r="Q958" s="529">
        <v>1000</v>
      </c>
      <c r="R958" s="529">
        <v>1000</v>
      </c>
      <c r="S958" s="933"/>
      <c r="T958" s="933"/>
      <c r="U958" s="933"/>
      <c r="X958" s="16"/>
      <c r="Y958" s="16"/>
    </row>
    <row r="959" spans="1:25" s="42" customFormat="1" ht="15">
      <c r="A959" s="740"/>
      <c r="B959" s="534" t="s">
        <v>2309</v>
      </c>
      <c r="C959" s="164"/>
      <c r="D959" s="444"/>
      <c r="E959" s="108"/>
      <c r="H959" s="283"/>
      <c r="I959" s="283"/>
      <c r="K959" s="283"/>
      <c r="L959" s="283"/>
      <c r="M959" s="283"/>
      <c r="N959" s="283"/>
      <c r="O959" s="815"/>
      <c r="P959" s="164"/>
      <c r="Q959" s="529">
        <v>500</v>
      </c>
      <c r="R959" s="529">
        <v>500</v>
      </c>
      <c r="S959" s="933"/>
      <c r="T959" s="933"/>
      <c r="U959" s="933"/>
      <c r="X959" s="16"/>
      <c r="Y959" s="16"/>
    </row>
    <row r="960" spans="1:25" s="42" customFormat="1" ht="15">
      <c r="A960" s="740"/>
      <c r="B960" s="534" t="s">
        <v>2310</v>
      </c>
      <c r="C960" s="164"/>
      <c r="D960" s="444"/>
      <c r="E960" s="108"/>
      <c r="H960" s="283"/>
      <c r="I960" s="283"/>
      <c r="K960" s="283"/>
      <c r="L960" s="283"/>
      <c r="M960" s="283"/>
      <c r="N960" s="283"/>
      <c r="O960" s="815"/>
      <c r="P960" s="164"/>
      <c r="Q960" s="529">
        <v>500</v>
      </c>
      <c r="R960" s="529">
        <v>500</v>
      </c>
      <c r="S960" s="933"/>
      <c r="T960" s="933"/>
      <c r="U960" s="933"/>
      <c r="X960" s="16"/>
      <c r="Y960" s="16"/>
    </row>
    <row r="961" spans="1:25" s="42" customFormat="1" ht="15">
      <c r="A961" s="740"/>
      <c r="B961" s="534" t="s">
        <v>2311</v>
      </c>
      <c r="C961" s="164"/>
      <c r="D961" s="444"/>
      <c r="E961" s="108"/>
      <c r="H961" s="283"/>
      <c r="I961" s="283"/>
      <c r="K961" s="283"/>
      <c r="L961" s="283"/>
      <c r="M961" s="283"/>
      <c r="N961" s="283"/>
      <c r="O961" s="815"/>
      <c r="P961" s="164"/>
      <c r="Q961" s="529">
        <v>400</v>
      </c>
      <c r="R961" s="529">
        <v>400</v>
      </c>
      <c r="S961" s="933"/>
      <c r="T961" s="933"/>
      <c r="U961" s="933"/>
      <c r="X961" s="16"/>
      <c r="Y961" s="16"/>
    </row>
    <row r="962" spans="1:25" s="42" customFormat="1" ht="15">
      <c r="A962" s="740"/>
      <c r="B962" s="534" t="s">
        <v>2312</v>
      </c>
      <c r="C962" s="164"/>
      <c r="D962" s="444"/>
      <c r="E962" s="108"/>
      <c r="H962" s="283"/>
      <c r="I962" s="283"/>
      <c r="K962" s="283"/>
      <c r="L962" s="283"/>
      <c r="M962" s="283"/>
      <c r="N962" s="283"/>
      <c r="O962" s="815"/>
      <c r="P962" s="164"/>
      <c r="Q962" s="529">
        <v>1000</v>
      </c>
      <c r="R962" s="529">
        <v>1000</v>
      </c>
      <c r="S962" s="933"/>
      <c r="T962" s="933"/>
      <c r="U962" s="933"/>
      <c r="X962" s="16"/>
      <c r="Y962" s="16"/>
    </row>
    <row r="963" spans="1:25" s="42" customFormat="1" ht="15">
      <c r="A963" s="740"/>
      <c r="B963" s="534" t="s">
        <v>2313</v>
      </c>
      <c r="C963" s="164"/>
      <c r="D963" s="444"/>
      <c r="E963" s="108"/>
      <c r="H963" s="283"/>
      <c r="I963" s="283"/>
      <c r="K963" s="283"/>
      <c r="L963" s="283"/>
      <c r="M963" s="283"/>
      <c r="N963" s="283"/>
      <c r="O963" s="815"/>
      <c r="P963" s="164"/>
      <c r="Q963" s="529">
        <v>400</v>
      </c>
      <c r="R963" s="529">
        <v>400</v>
      </c>
      <c r="S963" s="933"/>
      <c r="T963" s="933"/>
      <c r="U963" s="933"/>
      <c r="X963" s="16"/>
      <c r="Y963" s="16"/>
    </row>
    <row r="964" spans="1:25" s="42" customFormat="1" ht="15">
      <c r="A964" s="740"/>
      <c r="B964" s="534" t="s">
        <v>2314</v>
      </c>
      <c r="C964" s="164"/>
      <c r="D964" s="444"/>
      <c r="E964" s="108"/>
      <c r="H964" s="283"/>
      <c r="I964" s="283"/>
      <c r="K964" s="283"/>
      <c r="L964" s="283"/>
      <c r="M964" s="283"/>
      <c r="N964" s="283"/>
      <c r="O964" s="815"/>
      <c r="P964" s="164"/>
      <c r="Q964" s="529">
        <v>800</v>
      </c>
      <c r="R964" s="529">
        <v>800</v>
      </c>
      <c r="S964" s="933"/>
      <c r="T964" s="933"/>
      <c r="U964" s="933"/>
      <c r="X964" s="16"/>
      <c r="Y964" s="16"/>
    </row>
    <row r="965" spans="1:25" s="42" customFormat="1" ht="15">
      <c r="A965" s="740"/>
      <c r="B965" s="534" t="s">
        <v>2315</v>
      </c>
      <c r="C965" s="164"/>
      <c r="D965" s="444"/>
      <c r="E965" s="108"/>
      <c r="H965" s="283"/>
      <c r="I965" s="283"/>
      <c r="K965" s="283"/>
      <c r="L965" s="283"/>
      <c r="M965" s="283"/>
      <c r="N965" s="283"/>
      <c r="O965" s="815"/>
      <c r="P965" s="164"/>
      <c r="Q965" s="529">
        <v>5000</v>
      </c>
      <c r="R965" s="529">
        <v>5000</v>
      </c>
      <c r="S965" s="933"/>
      <c r="T965" s="933"/>
      <c r="U965" s="933"/>
      <c r="X965" s="16"/>
      <c r="Y965" s="16"/>
    </row>
    <row r="966" spans="1:25" s="42" customFormat="1" ht="15">
      <c r="A966" s="740"/>
      <c r="B966" s="534" t="s">
        <v>2316</v>
      </c>
      <c r="C966" s="164"/>
      <c r="D966" s="444"/>
      <c r="E966" s="108"/>
      <c r="H966" s="283"/>
      <c r="I966" s="283"/>
      <c r="K966" s="283"/>
      <c r="L966" s="283"/>
      <c r="M966" s="283"/>
      <c r="N966" s="283"/>
      <c r="O966" s="815"/>
      <c r="P966" s="164"/>
      <c r="Q966" s="529">
        <v>400</v>
      </c>
      <c r="R966" s="529">
        <v>400</v>
      </c>
      <c r="S966" s="933"/>
      <c r="T966" s="933"/>
      <c r="U966" s="933"/>
      <c r="X966" s="16"/>
      <c r="Y966" s="16"/>
    </row>
    <row r="967" spans="1:25" s="42" customFormat="1" ht="15">
      <c r="A967" s="740"/>
      <c r="B967" s="534" t="s">
        <v>2317</v>
      </c>
      <c r="C967" s="164"/>
      <c r="D967" s="444"/>
      <c r="E967" s="108"/>
      <c r="H967" s="283"/>
      <c r="I967" s="283"/>
      <c r="K967" s="283"/>
      <c r="L967" s="283"/>
      <c r="M967" s="283"/>
      <c r="N967" s="283"/>
      <c r="O967" s="815"/>
      <c r="P967" s="164"/>
      <c r="Q967" s="529">
        <v>800</v>
      </c>
      <c r="R967" s="529">
        <v>800</v>
      </c>
      <c r="S967" s="933"/>
      <c r="T967" s="933"/>
      <c r="U967" s="933"/>
      <c r="X967" s="16"/>
      <c r="Y967" s="16"/>
    </row>
    <row r="968" spans="1:25" s="42" customFormat="1" ht="15">
      <c r="A968" s="740"/>
      <c r="B968" s="446"/>
      <c r="C968" s="164"/>
      <c r="D968" s="444"/>
      <c r="E968" s="647"/>
      <c r="H968" s="283"/>
      <c r="I968" s="283"/>
      <c r="K968" s="283"/>
      <c r="L968" s="283"/>
      <c r="M968" s="283"/>
      <c r="N968" s="283"/>
      <c r="O968" s="815"/>
      <c r="P968" s="164"/>
      <c r="Q968" s="351"/>
      <c r="R968" s="351"/>
      <c r="S968" s="933"/>
      <c r="T968" s="933"/>
      <c r="U968" s="933"/>
      <c r="X968" s="16"/>
      <c r="Y968" s="16"/>
    </row>
    <row r="969" spans="1:25" s="42" customFormat="1" ht="15.75" customHeight="1">
      <c r="A969" s="740"/>
      <c r="B969" s="446" t="s">
        <v>1600</v>
      </c>
      <c r="C969" s="164" t="s">
        <v>2318</v>
      </c>
      <c r="D969" s="444">
        <v>40876</v>
      </c>
      <c r="E969" s="647"/>
      <c r="F969" s="42" t="s">
        <v>315</v>
      </c>
      <c r="H969" s="283"/>
      <c r="I969" s="283"/>
      <c r="K969" s="283">
        <v>206400</v>
      </c>
      <c r="L969" s="283"/>
      <c r="M969" s="283">
        <f t="shared" si="98"/>
        <v>206400</v>
      </c>
      <c r="N969" s="283"/>
      <c r="O969" s="815"/>
      <c r="P969" s="164" t="s">
        <v>104</v>
      </c>
      <c r="Q969" s="522">
        <f>SUM(Q970:Q1020)</f>
        <v>206400</v>
      </c>
      <c r="R969" s="522">
        <f>SUM(R970:R1020)</f>
        <v>206400</v>
      </c>
      <c r="S969" s="1337" t="s">
        <v>2319</v>
      </c>
      <c r="T969" s="1337"/>
      <c r="U969" s="1337"/>
      <c r="W969" s="42" t="s">
        <v>2002</v>
      </c>
      <c r="X969" s="16">
        <f t="shared" si="97"/>
        <v>206400</v>
      </c>
      <c r="Y969" s="16">
        <f>X969-M969</f>
        <v>0</v>
      </c>
    </row>
    <row r="970" spans="1:25" s="42" customFormat="1" ht="15">
      <c r="A970" s="740"/>
      <c r="B970" s="530" t="s">
        <v>2320</v>
      </c>
      <c r="C970" s="164"/>
      <c r="D970" s="444"/>
      <c r="E970" s="784"/>
      <c r="H970" s="283"/>
      <c r="I970" s="283"/>
      <c r="K970" s="283"/>
      <c r="L970" s="283"/>
      <c r="M970" s="283"/>
      <c r="N970" s="283"/>
      <c r="O970" s="815"/>
      <c r="P970" s="164"/>
      <c r="Q970" s="351">
        <v>15000</v>
      </c>
      <c r="R970" s="529">
        <v>15000</v>
      </c>
      <c r="S970" s="933"/>
      <c r="T970" s="933"/>
      <c r="U970" s="933"/>
      <c r="X970" s="16"/>
      <c r="Y970" s="16"/>
    </row>
    <row r="971" spans="1:25" s="42" customFormat="1" ht="15">
      <c r="A971" s="740"/>
      <c r="B971" s="530" t="s">
        <v>2321</v>
      </c>
      <c r="C971" s="164"/>
      <c r="D971" s="444"/>
      <c r="E971" s="784"/>
      <c r="H971" s="283"/>
      <c r="I971" s="283"/>
      <c r="K971" s="283"/>
      <c r="L971" s="283"/>
      <c r="M971" s="283"/>
      <c r="N971" s="283"/>
      <c r="O971" s="815"/>
      <c r="P971" s="164"/>
      <c r="Q971" s="351">
        <v>1000</v>
      </c>
      <c r="R971" s="529">
        <v>1000</v>
      </c>
      <c r="S971" s="933"/>
      <c r="T971" s="933"/>
      <c r="U971" s="933"/>
      <c r="X971" s="16"/>
      <c r="Y971" s="16"/>
    </row>
    <row r="972" spans="1:25" s="42" customFormat="1" ht="15">
      <c r="A972" s="740"/>
      <c r="B972" s="530" t="s">
        <v>1958</v>
      </c>
      <c r="C972" s="164"/>
      <c r="D972" s="444"/>
      <c r="E972" s="784"/>
      <c r="H972" s="283"/>
      <c r="I972" s="283"/>
      <c r="K972" s="283"/>
      <c r="L972" s="283"/>
      <c r="M972" s="283"/>
      <c r="N972" s="283"/>
      <c r="O972" s="815"/>
      <c r="P972" s="164"/>
      <c r="Q972" s="351">
        <v>1000</v>
      </c>
      <c r="R972" s="529">
        <v>1000</v>
      </c>
      <c r="S972" s="933"/>
      <c r="T972" s="933"/>
      <c r="U972" s="933"/>
      <c r="X972" s="16"/>
      <c r="Y972" s="16"/>
    </row>
    <row r="973" spans="1:25" s="42" customFormat="1" ht="15">
      <c r="A973" s="740"/>
      <c r="B973" s="530" t="s">
        <v>2322</v>
      </c>
      <c r="C973" s="164"/>
      <c r="D973" s="444"/>
      <c r="E973" s="784"/>
      <c r="H973" s="283"/>
      <c r="I973" s="283"/>
      <c r="K973" s="283"/>
      <c r="L973" s="283"/>
      <c r="M973" s="283"/>
      <c r="N973" s="283"/>
      <c r="O973" s="815"/>
      <c r="P973" s="164"/>
      <c r="Q973" s="351">
        <v>600</v>
      </c>
      <c r="R973" s="529">
        <v>600</v>
      </c>
      <c r="S973" s="933"/>
      <c r="T973" s="933"/>
      <c r="U973" s="933"/>
      <c r="X973" s="16"/>
      <c r="Y973" s="16"/>
    </row>
    <row r="974" spans="1:25" s="42" customFormat="1" ht="15">
      <c r="A974" s="740"/>
      <c r="B974" s="530" t="s">
        <v>2323</v>
      </c>
      <c r="C974" s="164"/>
      <c r="D974" s="444"/>
      <c r="E974" s="784"/>
      <c r="H974" s="283"/>
      <c r="I974" s="283"/>
      <c r="K974" s="283"/>
      <c r="L974" s="283"/>
      <c r="M974" s="283"/>
      <c r="N974" s="283"/>
      <c r="O974" s="815"/>
      <c r="P974" s="164"/>
      <c r="Q974" s="351">
        <v>2000</v>
      </c>
      <c r="R974" s="529">
        <v>2000</v>
      </c>
      <c r="S974" s="933"/>
      <c r="T974" s="933"/>
      <c r="U974" s="933"/>
      <c r="X974" s="16"/>
      <c r="Y974" s="16"/>
    </row>
    <row r="975" spans="1:25" s="42" customFormat="1" ht="15">
      <c r="A975" s="740"/>
      <c r="B975" s="530" t="s">
        <v>2324</v>
      </c>
      <c r="C975" s="164"/>
      <c r="D975" s="444"/>
      <c r="E975" s="784"/>
      <c r="H975" s="283"/>
      <c r="I975" s="283"/>
      <c r="K975" s="283"/>
      <c r="L975" s="283"/>
      <c r="M975" s="283"/>
      <c r="N975" s="283"/>
      <c r="O975" s="815"/>
      <c r="P975" s="164"/>
      <c r="Q975" s="351">
        <v>1000</v>
      </c>
      <c r="R975" s="529">
        <v>1000</v>
      </c>
      <c r="S975" s="933"/>
      <c r="T975" s="933"/>
      <c r="U975" s="933"/>
      <c r="X975" s="16"/>
      <c r="Y975" s="16"/>
    </row>
    <row r="976" spans="1:25" s="42" customFormat="1" ht="15">
      <c r="A976" s="740"/>
      <c r="B976" s="530" t="s">
        <v>2325</v>
      </c>
      <c r="C976" s="164"/>
      <c r="D976" s="444"/>
      <c r="E976" s="784"/>
      <c r="H976" s="283"/>
      <c r="I976" s="283"/>
      <c r="K976" s="283"/>
      <c r="L976" s="283"/>
      <c r="M976" s="283"/>
      <c r="N976" s="283"/>
      <c r="O976" s="815"/>
      <c r="P976" s="164"/>
      <c r="Q976" s="351">
        <v>700</v>
      </c>
      <c r="R976" s="529">
        <v>700</v>
      </c>
      <c r="S976" s="933"/>
      <c r="T976" s="933"/>
      <c r="U976" s="933"/>
      <c r="X976" s="16"/>
      <c r="Y976" s="16"/>
    </row>
    <row r="977" spans="1:25" s="42" customFormat="1" ht="15">
      <c r="A977" s="740"/>
      <c r="B977" s="530" t="s">
        <v>2326</v>
      </c>
      <c r="C977" s="164"/>
      <c r="D977" s="444"/>
      <c r="E977" s="784"/>
      <c r="H977" s="283"/>
      <c r="I977" s="283"/>
      <c r="K977" s="283"/>
      <c r="L977" s="283"/>
      <c r="M977" s="283"/>
      <c r="N977" s="283"/>
      <c r="O977" s="815"/>
      <c r="P977" s="164"/>
      <c r="Q977" s="351">
        <v>1000</v>
      </c>
      <c r="R977" s="529">
        <v>1000</v>
      </c>
      <c r="S977" s="933"/>
      <c r="T977" s="933"/>
      <c r="U977" s="933"/>
      <c r="X977" s="16"/>
      <c r="Y977" s="16"/>
    </row>
    <row r="978" spans="1:25" s="42" customFormat="1" ht="15">
      <c r="A978" s="740"/>
      <c r="B978" s="530" t="s">
        <v>2327</v>
      </c>
      <c r="C978" s="164"/>
      <c r="D978" s="444"/>
      <c r="E978" s="784"/>
      <c r="H978" s="283"/>
      <c r="I978" s="283"/>
      <c r="K978" s="283"/>
      <c r="L978" s="283"/>
      <c r="M978" s="283"/>
      <c r="N978" s="283"/>
      <c r="O978" s="815"/>
      <c r="P978" s="164"/>
      <c r="Q978" s="351">
        <v>1000</v>
      </c>
      <c r="R978" s="529">
        <v>1000</v>
      </c>
      <c r="S978" s="933"/>
      <c r="T978" s="933"/>
      <c r="U978" s="933"/>
      <c r="X978" s="16"/>
      <c r="Y978" s="16"/>
    </row>
    <row r="979" spans="1:25" s="42" customFormat="1" ht="15">
      <c r="A979" s="740"/>
      <c r="B979" s="530" t="s">
        <v>2328</v>
      </c>
      <c r="C979" s="164"/>
      <c r="D979" s="444"/>
      <c r="E979" s="784"/>
      <c r="H979" s="283"/>
      <c r="I979" s="283"/>
      <c r="K979" s="283"/>
      <c r="L979" s="283"/>
      <c r="M979" s="283"/>
      <c r="N979" s="283"/>
      <c r="O979" s="815"/>
      <c r="P979" s="164"/>
      <c r="Q979" s="351">
        <v>25000</v>
      </c>
      <c r="R979" s="529">
        <v>25000</v>
      </c>
      <c r="S979" s="933"/>
      <c r="T979" s="933"/>
      <c r="U979" s="933"/>
      <c r="X979" s="16"/>
      <c r="Y979" s="16"/>
    </row>
    <row r="980" spans="1:25" s="42" customFormat="1" ht="15">
      <c r="A980" s="740"/>
      <c r="B980" s="530" t="s">
        <v>2329</v>
      </c>
      <c r="C980" s="164"/>
      <c r="D980" s="444"/>
      <c r="E980" s="784"/>
      <c r="H980" s="283"/>
      <c r="I980" s="283"/>
      <c r="K980" s="283"/>
      <c r="L980" s="283"/>
      <c r="M980" s="283"/>
      <c r="N980" s="283"/>
      <c r="O980" s="815"/>
      <c r="P980" s="164"/>
      <c r="Q980" s="351">
        <v>25000</v>
      </c>
      <c r="R980" s="529">
        <v>25000</v>
      </c>
      <c r="S980" s="933"/>
      <c r="T980" s="933"/>
      <c r="U980" s="933"/>
      <c r="X980" s="16"/>
      <c r="Y980" s="16"/>
    </row>
    <row r="981" spans="1:25" s="42" customFormat="1" ht="15">
      <c r="A981" s="740"/>
      <c r="B981" s="530" t="s">
        <v>2330</v>
      </c>
      <c r="C981" s="164"/>
      <c r="D981" s="444"/>
      <c r="E981" s="784"/>
      <c r="H981" s="283"/>
      <c r="I981" s="283"/>
      <c r="K981" s="283"/>
      <c r="L981" s="283"/>
      <c r="M981" s="283"/>
      <c r="N981" s="283"/>
      <c r="O981" s="815"/>
      <c r="P981" s="164"/>
      <c r="Q981" s="351">
        <v>25000</v>
      </c>
      <c r="R981" s="529">
        <v>25000</v>
      </c>
      <c r="S981" s="933"/>
      <c r="T981" s="933"/>
      <c r="U981" s="933"/>
      <c r="X981" s="16"/>
      <c r="Y981" s="16"/>
    </row>
    <row r="982" spans="1:25" s="42" customFormat="1" ht="15">
      <c r="A982" s="740"/>
      <c r="B982" s="530" t="s">
        <v>2331</v>
      </c>
      <c r="C982" s="164"/>
      <c r="D982" s="444"/>
      <c r="E982" s="784"/>
      <c r="H982" s="283"/>
      <c r="I982" s="283"/>
      <c r="K982" s="283"/>
      <c r="L982" s="283"/>
      <c r="M982" s="283"/>
      <c r="N982" s="283"/>
      <c r="O982" s="815"/>
      <c r="P982" s="164"/>
      <c r="Q982" s="351">
        <v>15000</v>
      </c>
      <c r="R982" s="529">
        <v>15000</v>
      </c>
      <c r="S982" s="933"/>
      <c r="T982" s="933"/>
      <c r="U982" s="933"/>
      <c r="X982" s="16"/>
      <c r="Y982" s="16"/>
    </row>
    <row r="983" spans="1:25" s="42" customFormat="1" ht="15">
      <c r="A983" s="740"/>
      <c r="B983" s="530" t="s">
        <v>1780</v>
      </c>
      <c r="C983" s="164"/>
      <c r="D983" s="444"/>
      <c r="E983" s="784"/>
      <c r="H983" s="283"/>
      <c r="I983" s="283"/>
      <c r="K983" s="283"/>
      <c r="L983" s="283"/>
      <c r="M983" s="283"/>
      <c r="N983" s="283"/>
      <c r="O983" s="815"/>
      <c r="P983" s="164"/>
      <c r="Q983" s="351">
        <v>2000</v>
      </c>
      <c r="R983" s="529">
        <v>2000</v>
      </c>
      <c r="S983" s="933"/>
      <c r="T983" s="933"/>
      <c r="U983" s="933"/>
      <c r="X983" s="16"/>
      <c r="Y983" s="16"/>
    </row>
    <row r="984" spans="1:25" s="42" customFormat="1" ht="15">
      <c r="A984" s="740"/>
      <c r="B984" s="530" t="s">
        <v>1785</v>
      </c>
      <c r="C984" s="164"/>
      <c r="D984" s="444"/>
      <c r="E984" s="784"/>
      <c r="H984" s="283"/>
      <c r="I984" s="283"/>
      <c r="K984" s="283"/>
      <c r="L984" s="283"/>
      <c r="M984" s="283"/>
      <c r="N984" s="283"/>
      <c r="O984" s="815"/>
      <c r="P984" s="164"/>
      <c r="Q984" s="351">
        <v>2000</v>
      </c>
      <c r="R984" s="529">
        <v>2000</v>
      </c>
      <c r="S984" s="933"/>
      <c r="T984" s="933"/>
      <c r="U984" s="933"/>
      <c r="X984" s="16"/>
      <c r="Y984" s="16"/>
    </row>
    <row r="985" spans="1:25" s="42" customFormat="1" ht="15">
      <c r="A985" s="740"/>
      <c r="B985" s="530" t="s">
        <v>1778</v>
      </c>
      <c r="C985" s="164"/>
      <c r="D985" s="444"/>
      <c r="E985" s="784"/>
      <c r="H985" s="283"/>
      <c r="I985" s="283"/>
      <c r="K985" s="283"/>
      <c r="L985" s="283"/>
      <c r="M985" s="283"/>
      <c r="N985" s="283"/>
      <c r="O985" s="815"/>
      <c r="P985" s="164"/>
      <c r="Q985" s="351">
        <v>1000</v>
      </c>
      <c r="R985" s="529">
        <v>1000</v>
      </c>
      <c r="S985" s="933"/>
      <c r="T985" s="933"/>
      <c r="U985" s="933"/>
      <c r="X985" s="16"/>
      <c r="Y985" s="16"/>
    </row>
    <row r="986" spans="1:25" s="42" customFormat="1" ht="15">
      <c r="A986" s="740"/>
      <c r="B986" s="530" t="s">
        <v>1781</v>
      </c>
      <c r="C986" s="164"/>
      <c r="D986" s="444"/>
      <c r="E986" s="784"/>
      <c r="H986" s="283"/>
      <c r="I986" s="283"/>
      <c r="K986" s="283"/>
      <c r="L986" s="283"/>
      <c r="M986" s="283"/>
      <c r="N986" s="283"/>
      <c r="O986" s="815"/>
      <c r="P986" s="164"/>
      <c r="Q986" s="351">
        <v>1000</v>
      </c>
      <c r="R986" s="529">
        <v>1000</v>
      </c>
      <c r="S986" s="933"/>
      <c r="T986" s="933"/>
      <c r="U986" s="933"/>
      <c r="X986" s="16"/>
      <c r="Y986" s="16"/>
    </row>
    <row r="987" spans="1:25" s="42" customFormat="1" ht="15">
      <c r="A987" s="740"/>
      <c r="B987" s="530" t="s">
        <v>1782</v>
      </c>
      <c r="C987" s="164"/>
      <c r="D987" s="444"/>
      <c r="E987" s="784"/>
      <c r="H987" s="283"/>
      <c r="I987" s="283"/>
      <c r="K987" s="283"/>
      <c r="L987" s="283"/>
      <c r="M987" s="283"/>
      <c r="N987" s="283"/>
      <c r="O987" s="815"/>
      <c r="P987" s="164"/>
      <c r="Q987" s="351">
        <v>1000</v>
      </c>
      <c r="R987" s="529">
        <v>1000</v>
      </c>
      <c r="S987" s="933"/>
      <c r="T987" s="933"/>
      <c r="U987" s="933"/>
      <c r="X987" s="16"/>
      <c r="Y987" s="16"/>
    </row>
    <row r="988" spans="1:25" s="42" customFormat="1" ht="15">
      <c r="A988" s="740"/>
      <c r="B988" s="530" t="s">
        <v>2332</v>
      </c>
      <c r="C988" s="164"/>
      <c r="D988" s="444"/>
      <c r="E988" s="784"/>
      <c r="H988" s="283"/>
      <c r="I988" s="283"/>
      <c r="K988" s="283"/>
      <c r="L988" s="283"/>
      <c r="M988" s="283"/>
      <c r="N988" s="283"/>
      <c r="O988" s="815"/>
      <c r="P988" s="164"/>
      <c r="Q988" s="351">
        <v>1000</v>
      </c>
      <c r="R988" s="529">
        <v>1000</v>
      </c>
      <c r="S988" s="933"/>
      <c r="T988" s="933"/>
      <c r="U988" s="933"/>
      <c r="X988" s="16"/>
      <c r="Y988" s="16"/>
    </row>
    <row r="989" spans="1:25" s="42" customFormat="1" ht="15">
      <c r="A989" s="740"/>
      <c r="B989" s="530" t="s">
        <v>1784</v>
      </c>
      <c r="C989" s="164"/>
      <c r="D989" s="444"/>
      <c r="E989" s="784"/>
      <c r="H989" s="283"/>
      <c r="I989" s="283"/>
      <c r="K989" s="283"/>
      <c r="L989" s="283"/>
      <c r="M989" s="283"/>
      <c r="N989" s="283"/>
      <c r="O989" s="815"/>
      <c r="P989" s="164"/>
      <c r="Q989" s="351">
        <v>800</v>
      </c>
      <c r="R989" s="529">
        <v>800</v>
      </c>
      <c r="S989" s="933"/>
      <c r="T989" s="933"/>
      <c r="U989" s="933"/>
      <c r="X989" s="16"/>
      <c r="Y989" s="16"/>
    </row>
    <row r="990" spans="1:25" s="42" customFormat="1" ht="15">
      <c r="A990" s="740"/>
      <c r="B990" s="530" t="s">
        <v>1812</v>
      </c>
      <c r="C990" s="164"/>
      <c r="D990" s="444"/>
      <c r="E990" s="784"/>
      <c r="H990" s="283"/>
      <c r="I990" s="283"/>
      <c r="K990" s="283"/>
      <c r="L990" s="283"/>
      <c r="M990" s="283"/>
      <c r="N990" s="283"/>
      <c r="O990" s="815"/>
      <c r="P990" s="164"/>
      <c r="Q990" s="351">
        <v>900</v>
      </c>
      <c r="R990" s="529">
        <v>900</v>
      </c>
      <c r="S990" s="933"/>
      <c r="T990" s="933"/>
      <c r="U990" s="933"/>
      <c r="X990" s="16"/>
      <c r="Y990" s="16"/>
    </row>
    <row r="991" spans="1:25" s="42" customFormat="1" ht="15">
      <c r="A991" s="740"/>
      <c r="B991" s="530" t="s">
        <v>1786</v>
      </c>
      <c r="C991" s="164"/>
      <c r="D991" s="444"/>
      <c r="E991" s="784"/>
      <c r="H991" s="283"/>
      <c r="I991" s="283"/>
      <c r="K991" s="283"/>
      <c r="L991" s="283"/>
      <c r="M991" s="283"/>
      <c r="N991" s="283"/>
      <c r="O991" s="815"/>
      <c r="P991" s="164"/>
      <c r="Q991" s="351">
        <v>1000</v>
      </c>
      <c r="R991" s="529">
        <v>1000</v>
      </c>
      <c r="S991" s="933"/>
      <c r="T991" s="933"/>
      <c r="U991" s="933"/>
      <c r="X991" s="16"/>
      <c r="Y991" s="16"/>
    </row>
    <row r="992" spans="1:25" s="42" customFormat="1" ht="15">
      <c r="A992" s="740"/>
      <c r="B992" s="530" t="s">
        <v>1787</v>
      </c>
      <c r="C992" s="164"/>
      <c r="D992" s="444"/>
      <c r="E992" s="784"/>
      <c r="H992" s="283"/>
      <c r="I992" s="283"/>
      <c r="K992" s="283"/>
      <c r="L992" s="283"/>
      <c r="M992" s="283"/>
      <c r="N992" s="283"/>
      <c r="O992" s="815"/>
      <c r="P992" s="164"/>
      <c r="Q992" s="351">
        <v>1000</v>
      </c>
      <c r="R992" s="529">
        <v>1000</v>
      </c>
      <c r="S992" s="933"/>
      <c r="T992" s="933"/>
      <c r="U992" s="933"/>
      <c r="X992" s="16"/>
      <c r="Y992" s="16"/>
    </row>
    <row r="993" spans="1:25" s="42" customFormat="1" ht="15">
      <c r="A993" s="740"/>
      <c r="B993" s="530" t="s">
        <v>2333</v>
      </c>
      <c r="C993" s="164"/>
      <c r="D993" s="444"/>
      <c r="E993" s="784"/>
      <c r="H993" s="283"/>
      <c r="I993" s="283"/>
      <c r="K993" s="283"/>
      <c r="L993" s="283"/>
      <c r="M993" s="283"/>
      <c r="N993" s="283"/>
      <c r="O993" s="815"/>
      <c r="P993" s="164"/>
      <c r="Q993" s="351">
        <v>1000</v>
      </c>
      <c r="R993" s="529">
        <v>1000</v>
      </c>
      <c r="S993" s="933"/>
      <c r="T993" s="933"/>
      <c r="U993" s="933"/>
      <c r="X993" s="16"/>
      <c r="Y993" s="16"/>
    </row>
    <row r="994" spans="1:25" s="42" customFormat="1" ht="15">
      <c r="A994" s="740"/>
      <c r="B994" s="530" t="s">
        <v>2334</v>
      </c>
      <c r="C994" s="164"/>
      <c r="D994" s="444"/>
      <c r="E994" s="784"/>
      <c r="H994" s="283"/>
      <c r="I994" s="283"/>
      <c r="K994" s="283"/>
      <c r="L994" s="283"/>
      <c r="M994" s="283"/>
      <c r="N994" s="283"/>
      <c r="O994" s="815"/>
      <c r="P994" s="164"/>
      <c r="Q994" s="351">
        <v>15000</v>
      </c>
      <c r="R994" s="529">
        <v>15000</v>
      </c>
      <c r="S994" s="933"/>
      <c r="T994" s="933"/>
      <c r="U994" s="933"/>
      <c r="X994" s="16"/>
      <c r="Y994" s="16"/>
    </row>
    <row r="995" spans="1:25" s="42" customFormat="1" ht="15">
      <c r="A995" s="740"/>
      <c r="B995" s="530" t="s">
        <v>1795</v>
      </c>
      <c r="C995" s="164"/>
      <c r="D995" s="444"/>
      <c r="E995" s="784"/>
      <c r="H995" s="283"/>
      <c r="I995" s="283"/>
      <c r="K995" s="283"/>
      <c r="L995" s="283"/>
      <c r="M995" s="283"/>
      <c r="N995" s="283"/>
      <c r="O995" s="815"/>
      <c r="P995" s="164"/>
      <c r="Q995" s="351">
        <v>1000</v>
      </c>
      <c r="R995" s="529">
        <v>1000</v>
      </c>
      <c r="S995" s="933"/>
      <c r="T995" s="933"/>
      <c r="U995" s="933"/>
      <c r="X995" s="16"/>
      <c r="Y995" s="16"/>
    </row>
    <row r="996" spans="1:25" s="42" customFormat="1" ht="15">
      <c r="A996" s="740"/>
      <c r="B996" s="530" t="s">
        <v>1796</v>
      </c>
      <c r="C996" s="164"/>
      <c r="D996" s="444"/>
      <c r="E996" s="784"/>
      <c r="H996" s="283"/>
      <c r="I996" s="283"/>
      <c r="K996" s="283"/>
      <c r="L996" s="283"/>
      <c r="M996" s="283"/>
      <c r="N996" s="283"/>
      <c r="O996" s="815"/>
      <c r="P996" s="164"/>
      <c r="Q996" s="351">
        <v>1000</v>
      </c>
      <c r="R996" s="529">
        <v>1000</v>
      </c>
      <c r="S996" s="933"/>
      <c r="T996" s="933"/>
      <c r="U996" s="933"/>
      <c r="X996" s="16"/>
      <c r="Y996" s="16"/>
    </row>
    <row r="997" spans="1:25" s="42" customFormat="1" ht="15">
      <c r="A997" s="740"/>
      <c r="B997" s="530" t="s">
        <v>1814</v>
      </c>
      <c r="C997" s="164"/>
      <c r="D997" s="444"/>
      <c r="E997" s="784"/>
      <c r="H997" s="283"/>
      <c r="I997" s="283"/>
      <c r="K997" s="283"/>
      <c r="L997" s="283"/>
      <c r="M997" s="283"/>
      <c r="N997" s="283"/>
      <c r="O997" s="815"/>
      <c r="P997" s="164"/>
      <c r="Q997" s="351">
        <v>900</v>
      </c>
      <c r="R997" s="529">
        <v>900</v>
      </c>
      <c r="S997" s="933"/>
      <c r="T997" s="933"/>
      <c r="U997" s="933"/>
      <c r="X997" s="16"/>
      <c r="Y997" s="16"/>
    </row>
    <row r="998" spans="1:25" s="42" customFormat="1" ht="15">
      <c r="A998" s="740"/>
      <c r="B998" s="530" t="s">
        <v>1797</v>
      </c>
      <c r="C998" s="164"/>
      <c r="D998" s="444"/>
      <c r="E998" s="784"/>
      <c r="H998" s="283"/>
      <c r="I998" s="283"/>
      <c r="K998" s="283"/>
      <c r="L998" s="283"/>
      <c r="M998" s="283"/>
      <c r="N998" s="283"/>
      <c r="O998" s="815"/>
      <c r="P998" s="164"/>
      <c r="Q998" s="351">
        <v>1000</v>
      </c>
      <c r="R998" s="529">
        <v>1000</v>
      </c>
      <c r="S998" s="933"/>
      <c r="T998" s="933"/>
      <c r="U998" s="933"/>
      <c r="X998" s="16"/>
      <c r="Y998" s="16"/>
    </row>
    <row r="999" spans="1:25" s="42" customFormat="1" ht="15">
      <c r="A999" s="740"/>
      <c r="B999" s="530" t="s">
        <v>1798</v>
      </c>
      <c r="C999" s="164"/>
      <c r="D999" s="444"/>
      <c r="E999" s="784"/>
      <c r="H999" s="283"/>
      <c r="I999" s="283"/>
      <c r="K999" s="283"/>
      <c r="L999" s="283"/>
      <c r="M999" s="283"/>
      <c r="N999" s="283"/>
      <c r="O999" s="815"/>
      <c r="P999" s="164"/>
      <c r="Q999" s="351">
        <v>1000</v>
      </c>
      <c r="R999" s="529">
        <v>1000</v>
      </c>
      <c r="S999" s="933"/>
      <c r="T999" s="933"/>
      <c r="U999" s="933"/>
      <c r="X999" s="16"/>
      <c r="Y999" s="16"/>
    </row>
    <row r="1000" spans="1:25" s="42" customFormat="1" ht="15">
      <c r="A1000" s="740"/>
      <c r="B1000" s="530" t="s">
        <v>1799</v>
      </c>
      <c r="C1000" s="164"/>
      <c r="D1000" s="444"/>
      <c r="E1000" s="784"/>
      <c r="H1000" s="283"/>
      <c r="I1000" s="283"/>
      <c r="K1000" s="283"/>
      <c r="L1000" s="283"/>
      <c r="M1000" s="283"/>
      <c r="N1000" s="283"/>
      <c r="O1000" s="815"/>
      <c r="P1000" s="164"/>
      <c r="Q1000" s="351">
        <v>1000</v>
      </c>
      <c r="R1000" s="529">
        <v>1000</v>
      </c>
      <c r="S1000" s="933"/>
      <c r="T1000" s="933"/>
      <c r="U1000" s="933"/>
      <c r="X1000" s="16"/>
      <c r="Y1000" s="16"/>
    </row>
    <row r="1001" spans="1:25" s="42" customFormat="1" ht="15">
      <c r="A1001" s="740"/>
      <c r="B1001" s="530" t="s">
        <v>1815</v>
      </c>
      <c r="C1001" s="164"/>
      <c r="D1001" s="444"/>
      <c r="E1001" s="784"/>
      <c r="H1001" s="283"/>
      <c r="I1001" s="283"/>
      <c r="K1001" s="283"/>
      <c r="L1001" s="283"/>
      <c r="M1001" s="283"/>
      <c r="N1001" s="283"/>
      <c r="O1001" s="815"/>
      <c r="P1001" s="164"/>
      <c r="Q1001" s="351">
        <v>900</v>
      </c>
      <c r="R1001" s="529">
        <v>900</v>
      </c>
      <c r="S1001" s="933"/>
      <c r="T1001" s="933"/>
      <c r="U1001" s="933"/>
      <c r="X1001" s="16"/>
      <c r="Y1001" s="16"/>
    </row>
    <row r="1002" spans="1:25" s="42" customFormat="1" ht="15">
      <c r="A1002" s="740"/>
      <c r="B1002" s="530" t="s">
        <v>1800</v>
      </c>
      <c r="C1002" s="164"/>
      <c r="D1002" s="444"/>
      <c r="E1002" s="784"/>
      <c r="H1002" s="283"/>
      <c r="I1002" s="283"/>
      <c r="K1002" s="283"/>
      <c r="L1002" s="283"/>
      <c r="M1002" s="283"/>
      <c r="N1002" s="283"/>
      <c r="O1002" s="815"/>
      <c r="P1002" s="164"/>
      <c r="Q1002" s="351">
        <v>2000</v>
      </c>
      <c r="R1002" s="529">
        <v>2000</v>
      </c>
      <c r="S1002" s="933"/>
      <c r="T1002" s="933"/>
      <c r="U1002" s="933"/>
      <c r="X1002" s="16"/>
      <c r="Y1002" s="16"/>
    </row>
    <row r="1003" spans="1:25" s="42" customFormat="1" ht="15">
      <c r="A1003" s="740"/>
      <c r="B1003" s="530" t="s">
        <v>1816</v>
      </c>
      <c r="C1003" s="164"/>
      <c r="D1003" s="444"/>
      <c r="E1003" s="784"/>
      <c r="H1003" s="283"/>
      <c r="I1003" s="283"/>
      <c r="K1003" s="283"/>
      <c r="L1003" s="283"/>
      <c r="M1003" s="283"/>
      <c r="N1003" s="283"/>
      <c r="O1003" s="815"/>
      <c r="P1003" s="164"/>
      <c r="Q1003" s="351">
        <v>1000</v>
      </c>
      <c r="R1003" s="529">
        <v>1000</v>
      </c>
      <c r="S1003" s="933"/>
      <c r="T1003" s="933"/>
      <c r="U1003" s="933"/>
      <c r="X1003" s="16"/>
      <c r="Y1003" s="16"/>
    </row>
    <row r="1004" spans="1:25" s="42" customFormat="1" ht="15">
      <c r="A1004" s="740"/>
      <c r="B1004" s="530" t="s">
        <v>1801</v>
      </c>
      <c r="C1004" s="164"/>
      <c r="D1004" s="444"/>
      <c r="E1004" s="784"/>
      <c r="H1004" s="283"/>
      <c r="I1004" s="283"/>
      <c r="K1004" s="283"/>
      <c r="L1004" s="283"/>
      <c r="M1004" s="283"/>
      <c r="N1004" s="283"/>
      <c r="O1004" s="815"/>
      <c r="P1004" s="164"/>
      <c r="Q1004" s="351">
        <v>600</v>
      </c>
      <c r="R1004" s="529">
        <v>600</v>
      </c>
      <c r="S1004" s="933"/>
      <c r="T1004" s="933"/>
      <c r="U1004" s="933"/>
      <c r="X1004" s="16"/>
      <c r="Y1004" s="16"/>
    </row>
    <row r="1005" spans="1:25" s="42" customFormat="1" ht="15">
      <c r="A1005" s="740"/>
      <c r="B1005" s="530" t="s">
        <v>1817</v>
      </c>
      <c r="C1005" s="164"/>
      <c r="D1005" s="444"/>
      <c r="E1005" s="784"/>
      <c r="H1005" s="283"/>
      <c r="I1005" s="283"/>
      <c r="K1005" s="283"/>
      <c r="L1005" s="283"/>
      <c r="M1005" s="283"/>
      <c r="N1005" s="283"/>
      <c r="O1005" s="815"/>
      <c r="P1005" s="164"/>
      <c r="Q1005" s="351">
        <v>1000</v>
      </c>
      <c r="R1005" s="529">
        <v>1000</v>
      </c>
      <c r="S1005" s="933"/>
      <c r="T1005" s="933"/>
      <c r="U1005" s="933"/>
      <c r="X1005" s="16"/>
      <c r="Y1005" s="16"/>
    </row>
    <row r="1006" spans="1:25" s="42" customFormat="1" ht="15">
      <c r="A1006" s="740"/>
      <c r="B1006" s="530" t="s">
        <v>1803</v>
      </c>
      <c r="C1006" s="164"/>
      <c r="D1006" s="444"/>
      <c r="E1006" s="784"/>
      <c r="H1006" s="283"/>
      <c r="I1006" s="283"/>
      <c r="K1006" s="283"/>
      <c r="L1006" s="283"/>
      <c r="M1006" s="283"/>
      <c r="N1006" s="283"/>
      <c r="O1006" s="815"/>
      <c r="P1006" s="164"/>
      <c r="Q1006" s="351">
        <v>1000</v>
      </c>
      <c r="R1006" s="529">
        <v>1000</v>
      </c>
      <c r="S1006" s="933"/>
      <c r="T1006" s="933"/>
      <c r="U1006" s="933"/>
      <c r="X1006" s="16"/>
      <c r="Y1006" s="16"/>
    </row>
    <row r="1007" spans="1:25" s="42" customFormat="1" ht="15">
      <c r="A1007" s="740"/>
      <c r="B1007" s="530" t="s">
        <v>1802</v>
      </c>
      <c r="C1007" s="164"/>
      <c r="D1007" s="444"/>
      <c r="E1007" s="784"/>
      <c r="H1007" s="283"/>
      <c r="I1007" s="283"/>
      <c r="K1007" s="283"/>
      <c r="L1007" s="283"/>
      <c r="M1007" s="283"/>
      <c r="N1007" s="283"/>
      <c r="O1007" s="815"/>
      <c r="P1007" s="164"/>
      <c r="Q1007" s="351">
        <v>600</v>
      </c>
      <c r="R1007" s="529">
        <v>600</v>
      </c>
      <c r="S1007" s="933"/>
      <c r="T1007" s="933"/>
      <c r="U1007" s="933"/>
      <c r="X1007" s="16"/>
      <c r="Y1007" s="16"/>
    </row>
    <row r="1008" spans="1:25" s="42" customFormat="1" ht="15">
      <c r="A1008" s="740"/>
      <c r="B1008" s="530" t="s">
        <v>1804</v>
      </c>
      <c r="C1008" s="164"/>
      <c r="D1008" s="444"/>
      <c r="E1008" s="784"/>
      <c r="H1008" s="283"/>
      <c r="I1008" s="283"/>
      <c r="K1008" s="283"/>
      <c r="L1008" s="283"/>
      <c r="M1008" s="283"/>
      <c r="N1008" s="283"/>
      <c r="O1008" s="815"/>
      <c r="P1008" s="164"/>
      <c r="Q1008" s="351">
        <v>800</v>
      </c>
      <c r="R1008" s="529">
        <v>800</v>
      </c>
      <c r="S1008" s="933"/>
      <c r="T1008" s="933"/>
      <c r="U1008" s="933"/>
      <c r="X1008" s="16"/>
      <c r="Y1008" s="16"/>
    </row>
    <row r="1009" spans="1:25" s="42" customFormat="1" ht="15">
      <c r="A1009" s="740"/>
      <c r="B1009" s="530" t="s">
        <v>2335</v>
      </c>
      <c r="C1009" s="164"/>
      <c r="D1009" s="444"/>
      <c r="E1009" s="784"/>
      <c r="H1009" s="283"/>
      <c r="I1009" s="283"/>
      <c r="K1009" s="283"/>
      <c r="L1009" s="283"/>
      <c r="M1009" s="283"/>
      <c r="N1009" s="283"/>
      <c r="O1009" s="815"/>
      <c r="P1009" s="164"/>
      <c r="Q1009" s="351">
        <v>25000</v>
      </c>
      <c r="R1009" s="529">
        <v>25000</v>
      </c>
      <c r="S1009" s="933"/>
      <c r="T1009" s="933"/>
      <c r="U1009" s="933"/>
      <c r="X1009" s="16"/>
      <c r="Y1009" s="16"/>
    </row>
    <row r="1010" spans="1:25" s="42" customFormat="1" ht="15">
      <c r="A1010" s="740"/>
      <c r="B1010" s="530" t="s">
        <v>2336</v>
      </c>
      <c r="C1010" s="164"/>
      <c r="D1010" s="444"/>
      <c r="E1010" s="784"/>
      <c r="H1010" s="283"/>
      <c r="I1010" s="283"/>
      <c r="K1010" s="283"/>
      <c r="L1010" s="283"/>
      <c r="M1010" s="283"/>
      <c r="N1010" s="283"/>
      <c r="O1010" s="815"/>
      <c r="P1010" s="164"/>
      <c r="Q1010" s="351">
        <v>15000</v>
      </c>
      <c r="R1010" s="529">
        <v>15000</v>
      </c>
      <c r="S1010" s="933"/>
      <c r="T1010" s="933"/>
      <c r="U1010" s="933"/>
      <c r="X1010" s="16"/>
      <c r="Y1010" s="16"/>
    </row>
    <row r="1011" spans="1:25" s="42" customFormat="1" ht="15">
      <c r="A1011" s="740"/>
      <c r="B1011" s="530" t="s">
        <v>2337</v>
      </c>
      <c r="C1011" s="164"/>
      <c r="D1011" s="444"/>
      <c r="E1011" s="784"/>
      <c r="H1011" s="283"/>
      <c r="I1011" s="283"/>
      <c r="K1011" s="283"/>
      <c r="L1011" s="283"/>
      <c r="M1011" s="283"/>
      <c r="N1011" s="283"/>
      <c r="O1011" s="815"/>
      <c r="P1011" s="164"/>
      <c r="Q1011" s="351">
        <v>2000</v>
      </c>
      <c r="R1011" s="529">
        <v>2000</v>
      </c>
      <c r="S1011" s="933"/>
      <c r="T1011" s="933"/>
      <c r="U1011" s="933"/>
      <c r="X1011" s="16"/>
      <c r="Y1011" s="16"/>
    </row>
    <row r="1012" spans="1:25" s="42" customFormat="1" ht="15">
      <c r="A1012" s="740"/>
      <c r="B1012" s="530" t="s">
        <v>1818</v>
      </c>
      <c r="C1012" s="164"/>
      <c r="D1012" s="444"/>
      <c r="E1012" s="784"/>
      <c r="H1012" s="283"/>
      <c r="I1012" s="283"/>
      <c r="K1012" s="283"/>
      <c r="L1012" s="283"/>
      <c r="M1012" s="283"/>
      <c r="N1012" s="283"/>
      <c r="O1012" s="815"/>
      <c r="P1012" s="164"/>
      <c r="Q1012" s="351">
        <v>1000</v>
      </c>
      <c r="R1012" s="529">
        <v>1000</v>
      </c>
      <c r="S1012" s="933"/>
      <c r="T1012" s="933"/>
      <c r="U1012" s="933"/>
      <c r="X1012" s="16"/>
      <c r="Y1012" s="16"/>
    </row>
    <row r="1013" spans="1:25" s="42" customFormat="1" ht="15">
      <c r="A1013" s="740"/>
      <c r="B1013" s="530" t="s">
        <v>1806</v>
      </c>
      <c r="C1013" s="164"/>
      <c r="D1013" s="444"/>
      <c r="E1013" s="784"/>
      <c r="H1013" s="283"/>
      <c r="I1013" s="283"/>
      <c r="K1013" s="283"/>
      <c r="L1013" s="283"/>
      <c r="M1013" s="283"/>
      <c r="N1013" s="283"/>
      <c r="O1013" s="815"/>
      <c r="P1013" s="164"/>
      <c r="Q1013" s="351">
        <v>800</v>
      </c>
      <c r="R1013" s="529">
        <v>800</v>
      </c>
      <c r="S1013" s="933"/>
      <c r="T1013" s="933"/>
      <c r="U1013" s="933"/>
      <c r="X1013" s="16"/>
      <c r="Y1013" s="16"/>
    </row>
    <row r="1014" spans="1:25" s="42" customFormat="1" ht="15">
      <c r="A1014" s="740"/>
      <c r="B1014" s="530" t="s">
        <v>1807</v>
      </c>
      <c r="C1014" s="164"/>
      <c r="D1014" s="444"/>
      <c r="E1014" s="784"/>
      <c r="H1014" s="283"/>
      <c r="I1014" s="283"/>
      <c r="K1014" s="283"/>
      <c r="L1014" s="283"/>
      <c r="M1014" s="283"/>
      <c r="N1014" s="283"/>
      <c r="O1014" s="815"/>
      <c r="P1014" s="164"/>
      <c r="Q1014" s="351">
        <v>1000</v>
      </c>
      <c r="R1014" s="529">
        <v>1000</v>
      </c>
      <c r="S1014" s="933"/>
      <c r="T1014" s="933"/>
      <c r="U1014" s="933"/>
      <c r="X1014" s="16"/>
      <c r="Y1014" s="16"/>
    </row>
    <row r="1015" spans="1:25" s="42" customFormat="1" ht="15">
      <c r="A1015" s="740"/>
      <c r="B1015" s="530" t="s">
        <v>1808</v>
      </c>
      <c r="C1015" s="164"/>
      <c r="D1015" s="444"/>
      <c r="E1015" s="784"/>
      <c r="H1015" s="283"/>
      <c r="I1015" s="283"/>
      <c r="K1015" s="283"/>
      <c r="L1015" s="283"/>
      <c r="M1015" s="283"/>
      <c r="N1015" s="283"/>
      <c r="O1015" s="815"/>
      <c r="P1015" s="164"/>
      <c r="Q1015" s="351">
        <v>1000</v>
      </c>
      <c r="R1015" s="529">
        <v>1000</v>
      </c>
      <c r="S1015" s="933"/>
      <c r="T1015" s="933"/>
      <c r="U1015" s="933"/>
      <c r="X1015" s="16"/>
      <c r="Y1015" s="16"/>
    </row>
    <row r="1016" spans="1:25" s="42" customFormat="1" ht="15">
      <c r="A1016" s="740"/>
      <c r="B1016" s="530" t="s">
        <v>2338</v>
      </c>
      <c r="C1016" s="164"/>
      <c r="D1016" s="444"/>
      <c r="E1016" s="784"/>
      <c r="H1016" s="283"/>
      <c r="I1016" s="283"/>
      <c r="K1016" s="283"/>
      <c r="L1016" s="283"/>
      <c r="M1016" s="283"/>
      <c r="N1016" s="283"/>
      <c r="O1016" s="815"/>
      <c r="P1016" s="164"/>
      <c r="Q1016" s="351">
        <v>1000</v>
      </c>
      <c r="R1016" s="529">
        <v>1000</v>
      </c>
      <c r="S1016" s="933"/>
      <c r="T1016" s="933"/>
      <c r="U1016" s="933"/>
      <c r="X1016" s="16"/>
      <c r="Y1016" s="16"/>
    </row>
    <row r="1017" spans="1:25" s="42" customFormat="1" ht="15">
      <c r="A1017" s="740"/>
      <c r="B1017" s="530" t="s">
        <v>1809</v>
      </c>
      <c r="C1017" s="164"/>
      <c r="D1017" s="444"/>
      <c r="E1017" s="784"/>
      <c r="H1017" s="283"/>
      <c r="I1017" s="283"/>
      <c r="K1017" s="283"/>
      <c r="L1017" s="283"/>
      <c r="M1017" s="283"/>
      <c r="N1017" s="283"/>
      <c r="O1017" s="815"/>
      <c r="P1017" s="164"/>
      <c r="Q1017" s="351">
        <v>2000</v>
      </c>
      <c r="R1017" s="529">
        <v>2000</v>
      </c>
      <c r="S1017" s="933"/>
      <c r="T1017" s="933"/>
      <c r="U1017" s="933"/>
      <c r="X1017" s="16"/>
      <c r="Y1017" s="16"/>
    </row>
    <row r="1018" spans="1:25" s="42" customFormat="1" ht="15">
      <c r="A1018" s="740"/>
      <c r="B1018" s="530" t="s">
        <v>1810</v>
      </c>
      <c r="C1018" s="164"/>
      <c r="D1018" s="444"/>
      <c r="E1018" s="784"/>
      <c r="H1018" s="283"/>
      <c r="I1018" s="283"/>
      <c r="K1018" s="283"/>
      <c r="L1018" s="283"/>
      <c r="M1018" s="283"/>
      <c r="N1018" s="283"/>
      <c r="O1018" s="815"/>
      <c r="P1018" s="164"/>
      <c r="Q1018" s="351">
        <v>1000</v>
      </c>
      <c r="R1018" s="529">
        <v>1000</v>
      </c>
      <c r="S1018" s="933"/>
      <c r="T1018" s="933"/>
      <c r="U1018" s="933"/>
      <c r="X1018" s="16"/>
      <c r="Y1018" s="16"/>
    </row>
    <row r="1019" spans="1:25" s="42" customFormat="1" ht="15">
      <c r="A1019" s="740"/>
      <c r="B1019" s="530" t="s">
        <v>1811</v>
      </c>
      <c r="C1019" s="164"/>
      <c r="D1019" s="444"/>
      <c r="E1019" s="784"/>
      <c r="H1019" s="283"/>
      <c r="I1019" s="283"/>
      <c r="K1019" s="283"/>
      <c r="L1019" s="283"/>
      <c r="M1019" s="283"/>
      <c r="N1019" s="283"/>
      <c r="O1019" s="815"/>
      <c r="P1019" s="164"/>
      <c r="Q1019" s="351">
        <v>900</v>
      </c>
      <c r="R1019" s="529">
        <v>900</v>
      </c>
      <c r="S1019" s="933"/>
      <c r="T1019" s="933"/>
      <c r="U1019" s="933"/>
      <c r="X1019" s="16"/>
      <c r="Y1019" s="16"/>
    </row>
    <row r="1020" spans="1:25" s="42" customFormat="1" ht="15">
      <c r="A1020" s="740"/>
      <c r="B1020" s="530" t="s">
        <v>1820</v>
      </c>
      <c r="C1020" s="164"/>
      <c r="D1020" s="444"/>
      <c r="E1020" s="784"/>
      <c r="H1020" s="283"/>
      <c r="I1020" s="283"/>
      <c r="K1020" s="283"/>
      <c r="L1020" s="283"/>
      <c r="M1020" s="283"/>
      <c r="N1020" s="283"/>
      <c r="O1020" s="815"/>
      <c r="P1020" s="164"/>
      <c r="Q1020" s="351">
        <v>900</v>
      </c>
      <c r="R1020" s="529">
        <v>900</v>
      </c>
      <c r="S1020" s="933"/>
      <c r="T1020" s="933"/>
      <c r="U1020" s="933"/>
      <c r="X1020" s="16"/>
      <c r="Y1020" s="16"/>
    </row>
    <row r="1021" spans="1:25" s="42" customFormat="1" ht="15">
      <c r="A1021" s="740"/>
      <c r="B1021" s="446"/>
      <c r="C1021" s="164"/>
      <c r="D1021" s="444"/>
      <c r="E1021" s="647"/>
      <c r="H1021" s="283"/>
      <c r="I1021" s="283"/>
      <c r="K1021" s="283"/>
      <c r="L1021" s="283"/>
      <c r="M1021" s="283"/>
      <c r="N1021" s="283"/>
      <c r="O1021" s="815"/>
      <c r="P1021" s="164"/>
      <c r="Q1021" s="351"/>
      <c r="R1021" s="351"/>
      <c r="S1021" s="933"/>
      <c r="T1021" s="933"/>
      <c r="U1021" s="933"/>
      <c r="X1021" s="16"/>
      <c r="Y1021" s="16"/>
    </row>
    <row r="1022" spans="1:25" s="42" customFormat="1" ht="15">
      <c r="A1022" s="740"/>
      <c r="B1022" s="446" t="s">
        <v>1687</v>
      </c>
      <c r="C1022" s="164" t="s">
        <v>2339</v>
      </c>
      <c r="D1022" s="444">
        <v>40876</v>
      </c>
      <c r="E1022" s="647"/>
      <c r="F1022" s="42" t="s">
        <v>315</v>
      </c>
      <c r="H1022" s="283"/>
      <c r="I1022" s="283"/>
      <c r="K1022" s="283">
        <v>272400</v>
      </c>
      <c r="L1022" s="283"/>
      <c r="M1022" s="283">
        <f t="shared" si="98"/>
        <v>272400</v>
      </c>
      <c r="N1022" s="283"/>
      <c r="O1022" s="815"/>
      <c r="P1022" s="164" t="s">
        <v>104</v>
      </c>
      <c r="Q1022" s="522">
        <v>272400</v>
      </c>
      <c r="R1022" s="522">
        <v>272400</v>
      </c>
      <c r="S1022" s="1066"/>
      <c r="T1022" s="933"/>
      <c r="U1022" s="933"/>
      <c r="W1022" s="42" t="s">
        <v>2002</v>
      </c>
      <c r="X1022" s="16">
        <f t="shared" si="97"/>
        <v>272400</v>
      </c>
      <c r="Y1022" s="16">
        <f>X1022-M1022</f>
        <v>0</v>
      </c>
    </row>
    <row r="1023" spans="1:25" s="42" customFormat="1" ht="60">
      <c r="A1023" s="740"/>
      <c r="B1023" s="1078" t="s">
        <v>6279</v>
      </c>
      <c r="C1023" s="164"/>
      <c r="D1023" s="444"/>
      <c r="E1023" s="647"/>
      <c r="H1023" s="283"/>
      <c r="I1023" s="283"/>
      <c r="K1023" s="283"/>
      <c r="L1023" s="283"/>
      <c r="M1023" s="283"/>
      <c r="N1023" s="283"/>
      <c r="O1023" s="815"/>
      <c r="P1023" s="164"/>
      <c r="Q1023" s="90">
        <v>10000</v>
      </c>
      <c r="R1023" s="90">
        <v>10000</v>
      </c>
      <c r="S1023" s="1079" t="s">
        <v>6329</v>
      </c>
      <c r="T1023" s="933"/>
      <c r="U1023" s="933"/>
      <c r="X1023" s="16"/>
      <c r="Y1023" s="16"/>
    </row>
    <row r="1024" spans="1:25" s="42" customFormat="1" ht="15">
      <c r="A1024" s="740"/>
      <c r="B1024" s="1078" t="s">
        <v>6280</v>
      </c>
      <c r="C1024" s="164"/>
      <c r="D1024" s="444"/>
      <c r="E1024" s="647"/>
      <c r="H1024" s="283"/>
      <c r="I1024" s="283"/>
      <c r="K1024" s="283"/>
      <c r="L1024" s="283"/>
      <c r="M1024" s="283"/>
      <c r="N1024" s="283"/>
      <c r="O1024" s="815"/>
      <c r="P1024" s="164"/>
      <c r="Q1024" s="90">
        <v>700</v>
      </c>
      <c r="R1024" s="90">
        <v>700</v>
      </c>
      <c r="S1024" s="1080"/>
      <c r="T1024" s="933"/>
      <c r="U1024" s="933"/>
      <c r="X1024" s="16"/>
      <c r="Y1024" s="16"/>
    </row>
    <row r="1025" spans="1:25" s="42" customFormat="1" ht="15">
      <c r="A1025" s="740"/>
      <c r="B1025" s="1078" t="s">
        <v>6281</v>
      </c>
      <c r="C1025" s="164"/>
      <c r="D1025" s="444"/>
      <c r="E1025" s="647"/>
      <c r="H1025" s="283"/>
      <c r="I1025" s="283"/>
      <c r="K1025" s="283"/>
      <c r="L1025" s="283"/>
      <c r="M1025" s="283"/>
      <c r="N1025" s="283"/>
      <c r="O1025" s="815"/>
      <c r="P1025" s="164"/>
      <c r="Q1025" s="90">
        <v>20000</v>
      </c>
      <c r="R1025" s="90">
        <v>20000</v>
      </c>
      <c r="S1025" s="1081" t="s">
        <v>6330</v>
      </c>
      <c r="T1025" s="933"/>
      <c r="U1025" s="933"/>
      <c r="X1025" s="16"/>
      <c r="Y1025" s="16"/>
    </row>
    <row r="1026" spans="1:25" s="42" customFormat="1" ht="45">
      <c r="A1026" s="740"/>
      <c r="B1026" s="1078" t="s">
        <v>6282</v>
      </c>
      <c r="C1026" s="164"/>
      <c r="D1026" s="444"/>
      <c r="E1026" s="647"/>
      <c r="H1026" s="283"/>
      <c r="I1026" s="283"/>
      <c r="K1026" s="283"/>
      <c r="L1026" s="283"/>
      <c r="M1026" s="283"/>
      <c r="N1026" s="283"/>
      <c r="O1026" s="815"/>
      <c r="P1026" s="164"/>
      <c r="Q1026" s="90">
        <v>25000</v>
      </c>
      <c r="R1026" s="90">
        <v>25000</v>
      </c>
      <c r="S1026" s="1079" t="s">
        <v>6331</v>
      </c>
      <c r="T1026" s="933"/>
      <c r="U1026" s="933"/>
      <c r="X1026" s="16"/>
      <c r="Y1026" s="16"/>
    </row>
    <row r="1027" spans="1:25" s="42" customFormat="1" ht="15">
      <c r="A1027" s="740"/>
      <c r="B1027" s="545" t="s">
        <v>6283</v>
      </c>
      <c r="C1027" s="164"/>
      <c r="D1027" s="444"/>
      <c r="E1027" s="647"/>
      <c r="H1027" s="283"/>
      <c r="I1027" s="283"/>
      <c r="K1027" s="283"/>
      <c r="L1027" s="283"/>
      <c r="M1027" s="283"/>
      <c r="N1027" s="283"/>
      <c r="O1027" s="815"/>
      <c r="P1027" s="164"/>
      <c r="Q1027" s="90">
        <v>1000</v>
      </c>
      <c r="R1027" s="90">
        <v>1000</v>
      </c>
      <c r="S1027" s="1080"/>
      <c r="T1027" s="933"/>
      <c r="U1027" s="933"/>
      <c r="X1027" s="16"/>
      <c r="Y1027" s="16"/>
    </row>
    <row r="1028" spans="1:25" s="42" customFormat="1" ht="15">
      <c r="A1028" s="740"/>
      <c r="B1028" s="545" t="s">
        <v>6284</v>
      </c>
      <c r="C1028" s="164"/>
      <c r="D1028" s="444"/>
      <c r="E1028" s="647"/>
      <c r="H1028" s="283"/>
      <c r="I1028" s="283"/>
      <c r="K1028" s="283"/>
      <c r="L1028" s="283"/>
      <c r="M1028" s="283"/>
      <c r="N1028" s="283"/>
      <c r="O1028" s="815"/>
      <c r="P1028" s="164"/>
      <c r="Q1028" s="90">
        <v>1000</v>
      </c>
      <c r="R1028" s="90">
        <v>1000</v>
      </c>
      <c r="S1028" s="1080"/>
      <c r="T1028" s="933"/>
      <c r="U1028" s="933"/>
      <c r="X1028" s="16"/>
      <c r="Y1028" s="16"/>
    </row>
    <row r="1029" spans="1:25" s="42" customFormat="1" ht="15">
      <c r="A1029" s="740"/>
      <c r="B1029" s="545" t="s">
        <v>6285</v>
      </c>
      <c r="C1029" s="164"/>
      <c r="D1029" s="444"/>
      <c r="E1029" s="647"/>
      <c r="H1029" s="283"/>
      <c r="I1029" s="283"/>
      <c r="K1029" s="283"/>
      <c r="L1029" s="283"/>
      <c r="M1029" s="283"/>
      <c r="N1029" s="283"/>
      <c r="O1029" s="815"/>
      <c r="P1029" s="164"/>
      <c r="Q1029" s="90">
        <v>1000</v>
      </c>
      <c r="R1029" s="90">
        <v>1000</v>
      </c>
      <c r="S1029" s="1080"/>
      <c r="T1029" s="933"/>
      <c r="U1029" s="933"/>
      <c r="X1029" s="16"/>
      <c r="Y1029" s="16"/>
    </row>
    <row r="1030" spans="1:25" s="42" customFormat="1" ht="15">
      <c r="A1030" s="740"/>
      <c r="B1030" s="545" t="s">
        <v>6286</v>
      </c>
      <c r="C1030" s="164"/>
      <c r="D1030" s="444"/>
      <c r="E1030" s="647"/>
      <c r="H1030" s="283"/>
      <c r="I1030" s="283"/>
      <c r="K1030" s="283"/>
      <c r="L1030" s="283"/>
      <c r="M1030" s="283"/>
      <c r="N1030" s="283"/>
      <c r="O1030" s="815"/>
      <c r="P1030" s="164"/>
      <c r="Q1030" s="90">
        <v>1000</v>
      </c>
      <c r="R1030" s="90">
        <v>1000</v>
      </c>
      <c r="S1030" s="1080"/>
      <c r="T1030" s="933"/>
      <c r="U1030" s="933"/>
      <c r="X1030" s="16"/>
      <c r="Y1030" s="16"/>
    </row>
    <row r="1031" spans="1:25" s="42" customFormat="1" ht="15">
      <c r="A1031" s="740"/>
      <c r="B1031" s="545" t="s">
        <v>6287</v>
      </c>
      <c r="C1031" s="164"/>
      <c r="D1031" s="444"/>
      <c r="E1031" s="647"/>
      <c r="H1031" s="283"/>
      <c r="I1031" s="283"/>
      <c r="K1031" s="283"/>
      <c r="L1031" s="283"/>
      <c r="M1031" s="283"/>
      <c r="N1031" s="283"/>
      <c r="O1031" s="815"/>
      <c r="P1031" s="164"/>
      <c r="Q1031" s="90">
        <v>2000</v>
      </c>
      <c r="R1031" s="90">
        <v>2000</v>
      </c>
      <c r="S1031" s="1080"/>
      <c r="T1031" s="933"/>
      <c r="U1031" s="933"/>
      <c r="X1031" s="16"/>
      <c r="Y1031" s="16"/>
    </row>
    <row r="1032" spans="1:25" s="42" customFormat="1" ht="15">
      <c r="A1032" s="740"/>
      <c r="B1032" s="545" t="s">
        <v>6288</v>
      </c>
      <c r="C1032" s="164"/>
      <c r="D1032" s="444"/>
      <c r="E1032" s="647"/>
      <c r="H1032" s="283"/>
      <c r="I1032" s="283"/>
      <c r="K1032" s="283"/>
      <c r="L1032" s="283"/>
      <c r="M1032" s="283"/>
      <c r="N1032" s="283"/>
      <c r="O1032" s="815"/>
      <c r="P1032" s="164"/>
      <c r="Q1032" s="90">
        <v>1000</v>
      </c>
      <c r="R1032" s="90">
        <v>1000</v>
      </c>
      <c r="S1032" s="1080"/>
      <c r="T1032" s="933"/>
      <c r="U1032" s="933"/>
      <c r="X1032" s="16"/>
      <c r="Y1032" s="16"/>
    </row>
    <row r="1033" spans="1:25" s="42" customFormat="1" ht="15">
      <c r="A1033" s="740"/>
      <c r="B1033" s="545" t="s">
        <v>6289</v>
      </c>
      <c r="C1033" s="164"/>
      <c r="D1033" s="444"/>
      <c r="E1033" s="647"/>
      <c r="H1033" s="283"/>
      <c r="I1033" s="283"/>
      <c r="K1033" s="283"/>
      <c r="L1033" s="283"/>
      <c r="M1033" s="283"/>
      <c r="N1033" s="283"/>
      <c r="O1033" s="815"/>
      <c r="P1033" s="164"/>
      <c r="Q1033" s="90">
        <v>1000</v>
      </c>
      <c r="R1033" s="90">
        <v>1000</v>
      </c>
      <c r="S1033" s="1080"/>
      <c r="T1033" s="933"/>
      <c r="U1033" s="933"/>
      <c r="X1033" s="16"/>
      <c r="Y1033" s="16"/>
    </row>
    <row r="1034" spans="1:25" s="42" customFormat="1" ht="15">
      <c r="A1034" s="740"/>
      <c r="B1034" s="545" t="s">
        <v>6290</v>
      </c>
      <c r="C1034" s="164"/>
      <c r="D1034" s="444"/>
      <c r="E1034" s="647"/>
      <c r="H1034" s="283"/>
      <c r="I1034" s="283"/>
      <c r="K1034" s="283"/>
      <c r="L1034" s="283"/>
      <c r="M1034" s="283"/>
      <c r="N1034" s="283"/>
      <c r="O1034" s="815"/>
      <c r="P1034" s="164"/>
      <c r="Q1034" s="90">
        <v>1000</v>
      </c>
      <c r="R1034" s="90">
        <v>1000</v>
      </c>
      <c r="S1034" s="1080"/>
      <c r="T1034" s="933"/>
      <c r="U1034" s="933"/>
      <c r="X1034" s="16"/>
      <c r="Y1034" s="16"/>
    </row>
    <row r="1035" spans="1:25" s="42" customFormat="1" ht="15">
      <c r="A1035" s="740"/>
      <c r="B1035" s="545" t="s">
        <v>6291</v>
      </c>
      <c r="C1035" s="164"/>
      <c r="D1035" s="444"/>
      <c r="E1035" s="647"/>
      <c r="H1035" s="283"/>
      <c r="I1035" s="283"/>
      <c r="K1035" s="283"/>
      <c r="L1035" s="283"/>
      <c r="M1035" s="283"/>
      <c r="N1035" s="283"/>
      <c r="O1035" s="815"/>
      <c r="P1035" s="164"/>
      <c r="Q1035" s="90">
        <v>1000</v>
      </c>
      <c r="R1035" s="90">
        <v>1000</v>
      </c>
      <c r="S1035" s="1080"/>
      <c r="T1035" s="933"/>
      <c r="U1035" s="933"/>
      <c r="X1035" s="16"/>
      <c r="Y1035" s="16"/>
    </row>
    <row r="1036" spans="1:25" s="42" customFormat="1" ht="15">
      <c r="A1036" s="740"/>
      <c r="B1036" s="545" t="s">
        <v>6292</v>
      </c>
      <c r="C1036" s="164"/>
      <c r="D1036" s="444"/>
      <c r="E1036" s="647"/>
      <c r="H1036" s="283"/>
      <c r="I1036" s="283"/>
      <c r="K1036" s="283"/>
      <c r="L1036" s="283"/>
      <c r="M1036" s="283"/>
      <c r="N1036" s="283"/>
      <c r="O1036" s="815"/>
      <c r="P1036" s="164"/>
      <c r="Q1036" s="90">
        <v>25000</v>
      </c>
      <c r="R1036" s="90">
        <v>25000</v>
      </c>
      <c r="S1036" s="1080"/>
      <c r="T1036" s="933"/>
      <c r="U1036" s="933"/>
      <c r="X1036" s="16"/>
      <c r="Y1036" s="16"/>
    </row>
    <row r="1037" spans="1:25" s="42" customFormat="1" ht="15">
      <c r="A1037" s="740"/>
      <c r="B1037" s="542" t="s">
        <v>6293</v>
      </c>
      <c r="C1037" s="164"/>
      <c r="D1037" s="444"/>
      <c r="E1037" s="647"/>
      <c r="H1037" s="283"/>
      <c r="I1037" s="283"/>
      <c r="K1037" s="283"/>
      <c r="L1037" s="283"/>
      <c r="M1037" s="283"/>
      <c r="N1037" s="283"/>
      <c r="O1037" s="815"/>
      <c r="P1037" s="164"/>
      <c r="Q1037" s="90">
        <v>25000</v>
      </c>
      <c r="R1037" s="90">
        <v>25000</v>
      </c>
      <c r="S1037" s="1080"/>
      <c r="T1037" s="933"/>
      <c r="U1037" s="933"/>
      <c r="X1037" s="16"/>
      <c r="Y1037" s="16"/>
    </row>
    <row r="1038" spans="1:25" s="42" customFormat="1" ht="15">
      <c r="A1038" s="740"/>
      <c r="B1038" s="542" t="s">
        <v>6294</v>
      </c>
      <c r="C1038" s="164"/>
      <c r="D1038" s="444"/>
      <c r="E1038" s="647"/>
      <c r="H1038" s="283"/>
      <c r="I1038" s="283"/>
      <c r="K1038" s="283"/>
      <c r="L1038" s="283"/>
      <c r="M1038" s="283"/>
      <c r="N1038" s="283"/>
      <c r="O1038" s="815"/>
      <c r="P1038" s="164"/>
      <c r="Q1038" s="90">
        <v>15000</v>
      </c>
      <c r="R1038" s="90">
        <v>15000</v>
      </c>
      <c r="S1038" s="1080"/>
      <c r="T1038" s="933"/>
      <c r="U1038" s="933"/>
      <c r="X1038" s="16"/>
      <c r="Y1038" s="16"/>
    </row>
    <row r="1039" spans="1:25" s="42" customFormat="1" ht="15">
      <c r="A1039" s="740"/>
      <c r="B1039" s="542" t="s">
        <v>6295</v>
      </c>
      <c r="C1039" s="164"/>
      <c r="D1039" s="444"/>
      <c r="E1039" s="647"/>
      <c r="H1039" s="283"/>
      <c r="I1039" s="283"/>
      <c r="K1039" s="283"/>
      <c r="L1039" s="283"/>
      <c r="M1039" s="283"/>
      <c r="N1039" s="283"/>
      <c r="O1039" s="815"/>
      <c r="P1039" s="164"/>
      <c r="Q1039" s="90">
        <v>30000</v>
      </c>
      <c r="R1039" s="90">
        <v>30000</v>
      </c>
      <c r="S1039" s="1080"/>
      <c r="T1039" s="933"/>
      <c r="U1039" s="933"/>
      <c r="X1039" s="16"/>
      <c r="Y1039" s="16"/>
    </row>
    <row r="1040" spans="1:25" s="42" customFormat="1" ht="15">
      <c r="A1040" s="740"/>
      <c r="B1040" s="542" t="s">
        <v>6296</v>
      </c>
      <c r="C1040" s="164"/>
      <c r="D1040" s="444"/>
      <c r="E1040" s="647"/>
      <c r="H1040" s="283"/>
      <c r="I1040" s="283"/>
      <c r="K1040" s="283"/>
      <c r="L1040" s="283"/>
      <c r="M1040" s="283"/>
      <c r="N1040" s="283"/>
      <c r="O1040" s="815"/>
      <c r="P1040" s="164"/>
      <c r="Q1040" s="90">
        <v>15000</v>
      </c>
      <c r="R1040" s="90">
        <v>15000</v>
      </c>
      <c r="S1040" s="1080"/>
      <c r="T1040" s="933"/>
      <c r="U1040" s="933"/>
      <c r="X1040" s="16"/>
      <c r="Y1040" s="16"/>
    </row>
    <row r="1041" spans="1:25" s="42" customFormat="1" ht="15">
      <c r="A1041" s="740"/>
      <c r="B1041" s="542" t="s">
        <v>6297</v>
      </c>
      <c r="C1041" s="164"/>
      <c r="D1041" s="444"/>
      <c r="E1041" s="647"/>
      <c r="H1041" s="283"/>
      <c r="I1041" s="283"/>
      <c r="K1041" s="283"/>
      <c r="L1041" s="283"/>
      <c r="M1041" s="283"/>
      <c r="N1041" s="283"/>
      <c r="O1041" s="815"/>
      <c r="P1041" s="164"/>
      <c r="Q1041" s="90">
        <v>25000</v>
      </c>
      <c r="R1041" s="90">
        <v>25000</v>
      </c>
      <c r="S1041" s="1080"/>
      <c r="T1041" s="933"/>
      <c r="U1041" s="933"/>
      <c r="X1041" s="16"/>
      <c r="Y1041" s="16"/>
    </row>
    <row r="1042" spans="1:25" s="42" customFormat="1" ht="15">
      <c r="A1042" s="740"/>
      <c r="B1042" s="542" t="s">
        <v>1773</v>
      </c>
      <c r="C1042" s="164"/>
      <c r="D1042" s="444"/>
      <c r="E1042" s="647"/>
      <c r="H1042" s="283"/>
      <c r="I1042" s="283"/>
      <c r="K1042" s="283"/>
      <c r="L1042" s="283"/>
      <c r="M1042" s="283"/>
      <c r="N1042" s="283"/>
      <c r="O1042" s="815"/>
      <c r="P1042" s="164"/>
      <c r="Q1042" s="90">
        <v>30000</v>
      </c>
      <c r="R1042" s="90">
        <v>30000</v>
      </c>
      <c r="S1042" s="1080"/>
      <c r="T1042" s="933"/>
      <c r="U1042" s="933"/>
      <c r="X1042" s="16"/>
      <c r="Y1042" s="16"/>
    </row>
    <row r="1043" spans="1:25" s="42" customFormat="1" ht="15">
      <c r="A1043" s="740"/>
      <c r="B1043" s="542" t="s">
        <v>6298</v>
      </c>
      <c r="C1043" s="164"/>
      <c r="D1043" s="444"/>
      <c r="E1043" s="647"/>
      <c r="H1043" s="283"/>
      <c r="I1043" s="283"/>
      <c r="K1043" s="283"/>
      <c r="L1043" s="283"/>
      <c r="M1043" s="283"/>
      <c r="N1043" s="283"/>
      <c r="O1043" s="815"/>
      <c r="P1043" s="164"/>
      <c r="Q1043" s="90">
        <v>1000</v>
      </c>
      <c r="R1043" s="90">
        <v>1000</v>
      </c>
      <c r="S1043" s="1080"/>
      <c r="T1043" s="933"/>
      <c r="U1043" s="933"/>
      <c r="X1043" s="16"/>
      <c r="Y1043" s="16"/>
    </row>
    <row r="1044" spans="1:25" s="42" customFormat="1" ht="15">
      <c r="A1044" s="740"/>
      <c r="B1044" s="542" t="s">
        <v>6299</v>
      </c>
      <c r="C1044" s="164"/>
      <c r="D1044" s="444"/>
      <c r="E1044" s="647"/>
      <c r="H1044" s="283"/>
      <c r="I1044" s="283"/>
      <c r="K1044" s="283"/>
      <c r="L1044" s="283"/>
      <c r="M1044" s="283"/>
      <c r="N1044" s="283"/>
      <c r="O1044" s="815"/>
      <c r="P1044" s="164"/>
      <c r="Q1044" s="90">
        <v>900</v>
      </c>
      <c r="R1044" s="90">
        <v>900</v>
      </c>
      <c r="S1044" s="1080"/>
      <c r="T1044" s="933"/>
      <c r="U1044" s="933"/>
      <c r="X1044" s="16"/>
      <c r="Y1044" s="16"/>
    </row>
    <row r="1045" spans="1:25" s="42" customFormat="1" ht="15">
      <c r="A1045" s="740"/>
      <c r="B1045" s="542" t="s">
        <v>4659</v>
      </c>
      <c r="C1045" s="164"/>
      <c r="D1045" s="444"/>
      <c r="E1045" s="647"/>
      <c r="H1045" s="283"/>
      <c r="I1045" s="283"/>
      <c r="K1045" s="283"/>
      <c r="L1045" s="283"/>
      <c r="M1045" s="283"/>
      <c r="N1045" s="283"/>
      <c r="O1045" s="815"/>
      <c r="P1045" s="164"/>
      <c r="Q1045" s="90">
        <v>2000</v>
      </c>
      <c r="R1045" s="90">
        <v>2000</v>
      </c>
      <c r="S1045" s="1080"/>
      <c r="T1045" s="933"/>
      <c r="U1045" s="933"/>
      <c r="X1045" s="16"/>
      <c r="Y1045" s="16"/>
    </row>
    <row r="1046" spans="1:25" s="42" customFormat="1" ht="15">
      <c r="A1046" s="740"/>
      <c r="B1046" s="542" t="s">
        <v>6300</v>
      </c>
      <c r="C1046" s="164"/>
      <c r="D1046" s="444"/>
      <c r="E1046" s="647"/>
      <c r="H1046" s="283"/>
      <c r="I1046" s="283"/>
      <c r="K1046" s="283"/>
      <c r="L1046" s="283"/>
      <c r="M1046" s="283"/>
      <c r="N1046" s="283"/>
      <c r="O1046" s="815"/>
      <c r="P1046" s="164"/>
      <c r="Q1046" s="90">
        <v>1000</v>
      </c>
      <c r="R1046" s="90">
        <v>1000</v>
      </c>
      <c r="S1046" s="1080"/>
      <c r="T1046" s="933"/>
      <c r="U1046" s="933"/>
      <c r="X1046" s="16"/>
      <c r="Y1046" s="16"/>
    </row>
    <row r="1047" spans="1:25" s="42" customFormat="1" ht="15">
      <c r="A1047" s="740"/>
      <c r="B1047" s="542" t="s">
        <v>6301</v>
      </c>
      <c r="C1047" s="164"/>
      <c r="D1047" s="444"/>
      <c r="E1047" s="647"/>
      <c r="H1047" s="283"/>
      <c r="I1047" s="283"/>
      <c r="K1047" s="283"/>
      <c r="L1047" s="283"/>
      <c r="M1047" s="283"/>
      <c r="N1047" s="283"/>
      <c r="O1047" s="815"/>
      <c r="P1047" s="164"/>
      <c r="Q1047" s="90">
        <v>1000</v>
      </c>
      <c r="R1047" s="90">
        <v>1000</v>
      </c>
      <c r="S1047" s="1080"/>
      <c r="T1047" s="933"/>
      <c r="U1047" s="933"/>
      <c r="X1047" s="16"/>
      <c r="Y1047" s="16"/>
    </row>
    <row r="1048" spans="1:25" s="42" customFormat="1" ht="15">
      <c r="A1048" s="740"/>
      <c r="B1048" s="542" t="s">
        <v>6302</v>
      </c>
      <c r="C1048" s="164"/>
      <c r="D1048" s="444"/>
      <c r="E1048" s="647"/>
      <c r="H1048" s="283"/>
      <c r="I1048" s="283"/>
      <c r="K1048" s="283"/>
      <c r="L1048" s="283"/>
      <c r="M1048" s="283"/>
      <c r="N1048" s="283"/>
      <c r="O1048" s="815"/>
      <c r="P1048" s="164"/>
      <c r="Q1048" s="90">
        <v>1000</v>
      </c>
      <c r="R1048" s="90">
        <v>1000</v>
      </c>
      <c r="S1048" s="1080"/>
      <c r="T1048" s="933"/>
      <c r="U1048" s="933"/>
      <c r="X1048" s="16"/>
      <c r="Y1048" s="16"/>
    </row>
    <row r="1049" spans="1:25" s="42" customFormat="1" ht="15">
      <c r="A1049" s="740"/>
      <c r="B1049" s="542" t="s">
        <v>6303</v>
      </c>
      <c r="C1049" s="164"/>
      <c r="D1049" s="444"/>
      <c r="E1049" s="647"/>
      <c r="H1049" s="283"/>
      <c r="I1049" s="283"/>
      <c r="K1049" s="283"/>
      <c r="L1049" s="283"/>
      <c r="M1049" s="283"/>
      <c r="N1049" s="283"/>
      <c r="O1049" s="815"/>
      <c r="P1049" s="164"/>
      <c r="Q1049" s="90">
        <v>1000</v>
      </c>
      <c r="R1049" s="90">
        <v>1000</v>
      </c>
      <c r="S1049" s="1080"/>
      <c r="T1049" s="933"/>
      <c r="U1049" s="933"/>
      <c r="X1049" s="16"/>
      <c r="Y1049" s="16"/>
    </row>
    <row r="1050" spans="1:25" s="42" customFormat="1" ht="15">
      <c r="A1050" s="740"/>
      <c r="B1050" s="542" t="s">
        <v>6304</v>
      </c>
      <c r="C1050" s="164"/>
      <c r="D1050" s="444"/>
      <c r="E1050" s="647"/>
      <c r="H1050" s="283"/>
      <c r="I1050" s="283"/>
      <c r="K1050" s="283"/>
      <c r="L1050" s="283"/>
      <c r="M1050" s="283"/>
      <c r="N1050" s="283"/>
      <c r="O1050" s="815"/>
      <c r="P1050" s="164"/>
      <c r="Q1050" s="90">
        <v>2000</v>
      </c>
      <c r="R1050" s="90">
        <v>2000</v>
      </c>
      <c r="S1050" s="1080"/>
      <c r="T1050" s="933"/>
      <c r="U1050" s="933"/>
      <c r="X1050" s="16"/>
      <c r="Y1050" s="16"/>
    </row>
    <row r="1051" spans="1:25" s="42" customFormat="1" ht="15">
      <c r="A1051" s="740"/>
      <c r="B1051" s="542" t="s">
        <v>6305</v>
      </c>
      <c r="C1051" s="164"/>
      <c r="D1051" s="444"/>
      <c r="E1051" s="647"/>
      <c r="H1051" s="283"/>
      <c r="I1051" s="283"/>
      <c r="K1051" s="283"/>
      <c r="L1051" s="283"/>
      <c r="M1051" s="283"/>
      <c r="N1051" s="283"/>
      <c r="O1051" s="815"/>
      <c r="P1051" s="164"/>
      <c r="Q1051" s="90">
        <v>1000</v>
      </c>
      <c r="R1051" s="90">
        <v>1000</v>
      </c>
      <c r="S1051" s="1080"/>
      <c r="T1051" s="933"/>
      <c r="U1051" s="933"/>
      <c r="X1051" s="16"/>
      <c r="Y1051" s="16"/>
    </row>
    <row r="1052" spans="1:25" s="42" customFormat="1" ht="15">
      <c r="A1052" s="740"/>
      <c r="B1052" s="542" t="s">
        <v>6306</v>
      </c>
      <c r="C1052" s="164"/>
      <c r="D1052" s="444"/>
      <c r="E1052" s="647"/>
      <c r="H1052" s="283"/>
      <c r="I1052" s="283"/>
      <c r="K1052" s="283"/>
      <c r="L1052" s="283"/>
      <c r="M1052" s="283"/>
      <c r="N1052" s="283"/>
      <c r="O1052" s="815"/>
      <c r="P1052" s="164"/>
      <c r="Q1052" s="90">
        <v>1000</v>
      </c>
      <c r="R1052" s="90">
        <v>1000</v>
      </c>
      <c r="S1052" s="1080"/>
      <c r="T1052" s="933"/>
      <c r="U1052" s="933"/>
      <c r="X1052" s="16"/>
      <c r="Y1052" s="16"/>
    </row>
    <row r="1053" spans="1:25" s="42" customFormat="1" ht="45">
      <c r="A1053" s="740"/>
      <c r="B1053" s="542" t="s">
        <v>6307</v>
      </c>
      <c r="C1053" s="164"/>
      <c r="D1053" s="444"/>
      <c r="E1053" s="647"/>
      <c r="H1053" s="283"/>
      <c r="I1053" s="283"/>
      <c r="K1053" s="283"/>
      <c r="L1053" s="283"/>
      <c r="M1053" s="283"/>
      <c r="N1053" s="283"/>
      <c r="O1053" s="815"/>
      <c r="P1053" s="164"/>
      <c r="Q1053" s="90">
        <v>900</v>
      </c>
      <c r="R1053" s="90">
        <v>900</v>
      </c>
      <c r="S1053" s="1079" t="s">
        <v>6332</v>
      </c>
      <c r="T1053" s="933"/>
      <c r="U1053" s="933"/>
      <c r="X1053" s="16"/>
      <c r="Y1053" s="16"/>
    </row>
    <row r="1054" spans="1:25" s="42" customFormat="1" ht="15">
      <c r="A1054" s="740"/>
      <c r="B1054" s="542" t="s">
        <v>6308</v>
      </c>
      <c r="C1054" s="164"/>
      <c r="D1054" s="444"/>
      <c r="E1054" s="647"/>
      <c r="H1054" s="283"/>
      <c r="I1054" s="283"/>
      <c r="K1054" s="283"/>
      <c r="L1054" s="283"/>
      <c r="M1054" s="283"/>
      <c r="N1054" s="283"/>
      <c r="O1054" s="815"/>
      <c r="P1054" s="164"/>
      <c r="Q1054" s="90">
        <v>2000</v>
      </c>
      <c r="R1054" s="90">
        <v>2000</v>
      </c>
      <c r="S1054" s="1080"/>
      <c r="T1054" s="933"/>
      <c r="U1054" s="933"/>
      <c r="X1054" s="16"/>
      <c r="Y1054" s="16"/>
    </row>
    <row r="1055" spans="1:25" s="42" customFormat="1" ht="15">
      <c r="A1055" s="740"/>
      <c r="B1055" s="542" t="s">
        <v>6309</v>
      </c>
      <c r="C1055" s="164"/>
      <c r="D1055" s="444"/>
      <c r="E1055" s="647"/>
      <c r="H1055" s="283"/>
      <c r="I1055" s="283"/>
      <c r="K1055" s="283"/>
      <c r="L1055" s="283"/>
      <c r="M1055" s="283"/>
      <c r="N1055" s="283"/>
      <c r="O1055" s="815"/>
      <c r="P1055" s="164"/>
      <c r="Q1055" s="90">
        <v>1000</v>
      </c>
      <c r="R1055" s="90">
        <v>1000</v>
      </c>
      <c r="S1055" s="1080"/>
      <c r="T1055" s="933"/>
      <c r="U1055" s="933"/>
      <c r="X1055" s="16"/>
      <c r="Y1055" s="16"/>
    </row>
    <row r="1056" spans="1:25" s="42" customFormat="1" ht="15">
      <c r="A1056" s="740"/>
      <c r="B1056" s="542" t="s">
        <v>6310</v>
      </c>
      <c r="C1056" s="164"/>
      <c r="D1056" s="444"/>
      <c r="E1056" s="647"/>
      <c r="H1056" s="283"/>
      <c r="I1056" s="283"/>
      <c r="K1056" s="283"/>
      <c r="L1056" s="283"/>
      <c r="M1056" s="283"/>
      <c r="N1056" s="283"/>
      <c r="O1056" s="815"/>
      <c r="P1056" s="164"/>
      <c r="Q1056" s="90">
        <v>800</v>
      </c>
      <c r="R1056" s="90">
        <v>800</v>
      </c>
      <c r="S1056" s="1080"/>
      <c r="T1056" s="933"/>
      <c r="U1056" s="933"/>
      <c r="X1056" s="16"/>
      <c r="Y1056" s="16"/>
    </row>
    <row r="1057" spans="1:25" s="42" customFormat="1" ht="15">
      <c r="A1057" s="740"/>
      <c r="B1057" s="542" t="s">
        <v>6311</v>
      </c>
      <c r="C1057" s="164"/>
      <c r="D1057" s="444"/>
      <c r="E1057" s="647"/>
      <c r="H1057" s="283"/>
      <c r="I1057" s="283"/>
      <c r="K1057" s="283"/>
      <c r="L1057" s="283"/>
      <c r="M1057" s="283"/>
      <c r="N1057" s="283"/>
      <c r="O1057" s="815"/>
      <c r="P1057" s="164"/>
      <c r="Q1057" s="90">
        <v>2000</v>
      </c>
      <c r="R1057" s="90">
        <v>2000</v>
      </c>
      <c r="S1057" s="1080"/>
      <c r="T1057" s="933"/>
      <c r="U1057" s="933"/>
      <c r="X1057" s="16"/>
      <c r="Y1057" s="16"/>
    </row>
    <row r="1058" spans="1:25" s="42" customFormat="1" ht="15">
      <c r="A1058" s="740"/>
      <c r="B1058" s="542" t="s">
        <v>6312</v>
      </c>
      <c r="C1058" s="164"/>
      <c r="D1058" s="444"/>
      <c r="E1058" s="647"/>
      <c r="H1058" s="283"/>
      <c r="I1058" s="283"/>
      <c r="K1058" s="283"/>
      <c r="L1058" s="283"/>
      <c r="M1058" s="283"/>
      <c r="N1058" s="283"/>
      <c r="O1058" s="815"/>
      <c r="P1058" s="164"/>
      <c r="Q1058" s="90">
        <v>1000</v>
      </c>
      <c r="R1058" s="90">
        <v>1000</v>
      </c>
      <c r="S1058" s="1080"/>
      <c r="T1058" s="933"/>
      <c r="U1058" s="933"/>
      <c r="X1058" s="16"/>
      <c r="Y1058" s="16"/>
    </row>
    <row r="1059" spans="1:25" s="42" customFormat="1" ht="15">
      <c r="A1059" s="740"/>
      <c r="B1059" s="542" t="s">
        <v>6313</v>
      </c>
      <c r="C1059" s="164"/>
      <c r="D1059" s="444"/>
      <c r="E1059" s="647"/>
      <c r="H1059" s="283"/>
      <c r="I1059" s="283"/>
      <c r="K1059" s="283"/>
      <c r="L1059" s="283"/>
      <c r="M1059" s="283"/>
      <c r="N1059" s="283"/>
      <c r="O1059" s="815"/>
      <c r="P1059" s="164"/>
      <c r="Q1059" s="90">
        <v>1000</v>
      </c>
      <c r="R1059" s="90">
        <v>1000</v>
      </c>
      <c r="S1059" s="1080"/>
      <c r="T1059" s="933"/>
      <c r="U1059" s="933"/>
      <c r="X1059" s="16"/>
      <c r="Y1059" s="16"/>
    </row>
    <row r="1060" spans="1:25" s="42" customFormat="1" ht="15">
      <c r="A1060" s="740"/>
      <c r="B1060" s="542" t="s">
        <v>6314</v>
      </c>
      <c r="C1060" s="164"/>
      <c r="D1060" s="444"/>
      <c r="E1060" s="647"/>
      <c r="H1060" s="283"/>
      <c r="I1060" s="283"/>
      <c r="K1060" s="283"/>
      <c r="L1060" s="283"/>
      <c r="M1060" s="283"/>
      <c r="N1060" s="283"/>
      <c r="O1060" s="815"/>
      <c r="P1060" s="164"/>
      <c r="Q1060" s="90">
        <v>2000</v>
      </c>
      <c r="R1060" s="90">
        <v>2000</v>
      </c>
      <c r="S1060" s="1080"/>
      <c r="T1060" s="933"/>
      <c r="U1060" s="933"/>
      <c r="X1060" s="16"/>
      <c r="Y1060" s="16"/>
    </row>
    <row r="1061" spans="1:25" s="42" customFormat="1" ht="15">
      <c r="A1061" s="740"/>
      <c r="B1061" s="542" t="s">
        <v>6315</v>
      </c>
      <c r="C1061" s="164"/>
      <c r="D1061" s="444"/>
      <c r="E1061" s="647"/>
      <c r="H1061" s="283"/>
      <c r="I1061" s="283"/>
      <c r="K1061" s="283"/>
      <c r="L1061" s="283"/>
      <c r="M1061" s="283"/>
      <c r="N1061" s="283"/>
      <c r="O1061" s="815"/>
      <c r="P1061" s="164"/>
      <c r="Q1061" s="90">
        <v>800</v>
      </c>
      <c r="R1061" s="90">
        <v>800</v>
      </c>
      <c r="S1061" s="1080"/>
      <c r="T1061" s="933"/>
      <c r="U1061" s="933"/>
      <c r="X1061" s="16"/>
      <c r="Y1061" s="16"/>
    </row>
    <row r="1062" spans="1:25" s="42" customFormat="1" ht="15">
      <c r="A1062" s="740"/>
      <c r="B1062" s="542" t="s">
        <v>6316</v>
      </c>
      <c r="C1062" s="164"/>
      <c r="D1062" s="444"/>
      <c r="E1062" s="647"/>
      <c r="H1062" s="283"/>
      <c r="I1062" s="283"/>
      <c r="K1062" s="283"/>
      <c r="L1062" s="283"/>
      <c r="M1062" s="283"/>
      <c r="N1062" s="283"/>
      <c r="O1062" s="815"/>
      <c r="P1062" s="164"/>
      <c r="Q1062" s="90">
        <v>700</v>
      </c>
      <c r="R1062" s="90">
        <v>700</v>
      </c>
      <c r="S1062" s="1080"/>
      <c r="T1062" s="933"/>
      <c r="U1062" s="933"/>
      <c r="X1062" s="16"/>
      <c r="Y1062" s="16"/>
    </row>
    <row r="1063" spans="1:25" s="42" customFormat="1" ht="15">
      <c r="A1063" s="740"/>
      <c r="B1063" s="542" t="s">
        <v>6317</v>
      </c>
      <c r="C1063" s="164"/>
      <c r="D1063" s="444"/>
      <c r="E1063" s="647"/>
      <c r="H1063" s="283"/>
      <c r="I1063" s="283"/>
      <c r="K1063" s="283"/>
      <c r="L1063" s="283"/>
      <c r="M1063" s="283"/>
      <c r="N1063" s="283"/>
      <c r="O1063" s="815"/>
      <c r="P1063" s="164"/>
      <c r="Q1063" s="90">
        <v>600</v>
      </c>
      <c r="R1063" s="90">
        <v>600</v>
      </c>
      <c r="S1063" s="1080"/>
      <c r="T1063" s="933"/>
      <c r="U1063" s="933"/>
      <c r="X1063" s="16"/>
      <c r="Y1063" s="16"/>
    </row>
    <row r="1064" spans="1:25" s="42" customFormat="1" ht="15">
      <c r="A1064" s="740"/>
      <c r="B1064" s="542" t="s">
        <v>6318</v>
      </c>
      <c r="C1064" s="164"/>
      <c r="D1064" s="444"/>
      <c r="E1064" s="647"/>
      <c r="H1064" s="283"/>
      <c r="I1064" s="283"/>
      <c r="K1064" s="283"/>
      <c r="L1064" s="283"/>
      <c r="M1064" s="283"/>
      <c r="N1064" s="283"/>
      <c r="O1064" s="815"/>
      <c r="P1064" s="164"/>
      <c r="Q1064" s="90">
        <v>2000</v>
      </c>
      <c r="R1064" s="90">
        <v>2000</v>
      </c>
      <c r="S1064" s="1080"/>
      <c r="T1064" s="933"/>
      <c r="U1064" s="933"/>
      <c r="X1064" s="16"/>
      <c r="Y1064" s="16"/>
    </row>
    <row r="1065" spans="1:25" s="42" customFormat="1" ht="15">
      <c r="A1065" s="740"/>
      <c r="B1065" s="542" t="s">
        <v>6296</v>
      </c>
      <c r="C1065" s="164"/>
      <c r="D1065" s="444"/>
      <c r="E1065" s="647"/>
      <c r="H1065" s="283"/>
      <c r="I1065" s="283"/>
      <c r="K1065" s="283"/>
      <c r="L1065" s="283"/>
      <c r="M1065" s="283"/>
      <c r="N1065" s="283"/>
      <c r="O1065" s="815"/>
      <c r="P1065" s="164"/>
      <c r="Q1065" s="90">
        <v>2000</v>
      </c>
      <c r="R1065" s="90">
        <v>2000</v>
      </c>
      <c r="S1065" s="1080"/>
      <c r="T1065" s="933"/>
      <c r="U1065" s="933"/>
      <c r="X1065" s="16"/>
      <c r="Y1065" s="16"/>
    </row>
    <row r="1066" spans="1:25" s="42" customFormat="1" ht="15">
      <c r="A1066" s="740"/>
      <c r="B1066" s="542" t="s">
        <v>6319</v>
      </c>
      <c r="C1066" s="164"/>
      <c r="D1066" s="444"/>
      <c r="E1066" s="647"/>
      <c r="H1066" s="283"/>
      <c r="I1066" s="283"/>
      <c r="K1066" s="283"/>
      <c r="L1066" s="283"/>
      <c r="M1066" s="283"/>
      <c r="N1066" s="283"/>
      <c r="O1066" s="815"/>
      <c r="P1066" s="164"/>
      <c r="Q1066" s="90">
        <v>700</v>
      </c>
      <c r="R1066" s="90">
        <v>700</v>
      </c>
      <c r="S1066" s="1080"/>
      <c r="T1066" s="933"/>
      <c r="U1066" s="933"/>
      <c r="X1066" s="16"/>
      <c r="Y1066" s="16"/>
    </row>
    <row r="1067" spans="1:25" s="42" customFormat="1" ht="15">
      <c r="A1067" s="740"/>
      <c r="B1067" s="542" t="s">
        <v>6320</v>
      </c>
      <c r="C1067" s="164"/>
      <c r="D1067" s="444"/>
      <c r="E1067" s="647"/>
      <c r="H1067" s="283"/>
      <c r="I1067" s="283"/>
      <c r="K1067" s="283"/>
      <c r="L1067" s="283"/>
      <c r="M1067" s="283"/>
      <c r="N1067" s="283"/>
      <c r="O1067" s="815"/>
      <c r="P1067" s="164"/>
      <c r="Q1067" s="90">
        <v>600</v>
      </c>
      <c r="R1067" s="90">
        <v>600</v>
      </c>
      <c r="S1067" s="1080"/>
      <c r="T1067" s="933"/>
      <c r="U1067" s="933"/>
      <c r="X1067" s="16"/>
      <c r="Y1067" s="16"/>
    </row>
    <row r="1068" spans="1:25" s="42" customFormat="1" ht="15">
      <c r="A1068" s="740"/>
      <c r="B1068" s="542" t="s">
        <v>6321</v>
      </c>
      <c r="C1068" s="164"/>
      <c r="D1068" s="444"/>
      <c r="E1068" s="647"/>
      <c r="H1068" s="283"/>
      <c r="I1068" s="283"/>
      <c r="K1068" s="283"/>
      <c r="L1068" s="283"/>
      <c r="M1068" s="283"/>
      <c r="N1068" s="283"/>
      <c r="O1068" s="815"/>
      <c r="P1068" s="164"/>
      <c r="Q1068" s="90">
        <v>1000</v>
      </c>
      <c r="R1068" s="90">
        <v>1000</v>
      </c>
      <c r="S1068" s="1080"/>
      <c r="T1068" s="933"/>
      <c r="U1068" s="933"/>
      <c r="X1068" s="16"/>
      <c r="Y1068" s="16"/>
    </row>
    <row r="1069" spans="1:25" s="42" customFormat="1" ht="15">
      <c r="A1069" s="740"/>
      <c r="B1069" s="542" t="s">
        <v>6322</v>
      </c>
      <c r="C1069" s="164"/>
      <c r="D1069" s="444"/>
      <c r="E1069" s="647"/>
      <c r="H1069" s="283"/>
      <c r="I1069" s="283"/>
      <c r="K1069" s="283"/>
      <c r="L1069" s="283"/>
      <c r="M1069" s="283"/>
      <c r="N1069" s="283"/>
      <c r="O1069" s="815"/>
      <c r="P1069" s="164"/>
      <c r="Q1069" s="90">
        <v>1000</v>
      </c>
      <c r="R1069" s="90">
        <v>1000</v>
      </c>
      <c r="S1069" s="1169"/>
      <c r="T1069" s="933"/>
      <c r="U1069" s="933"/>
      <c r="X1069" s="16"/>
      <c r="Y1069" s="16"/>
    </row>
    <row r="1070" spans="1:25" s="42" customFormat="1" ht="15">
      <c r="A1070" s="740"/>
      <c r="B1070" s="542" t="s">
        <v>6323</v>
      </c>
      <c r="C1070" s="164"/>
      <c r="D1070" s="444"/>
      <c r="E1070" s="647"/>
      <c r="H1070" s="283"/>
      <c r="I1070" s="283"/>
      <c r="K1070" s="283"/>
      <c r="L1070" s="283"/>
      <c r="M1070" s="283"/>
      <c r="N1070" s="283"/>
      <c r="O1070" s="815"/>
      <c r="P1070" s="164"/>
      <c r="Q1070" s="90">
        <v>1000</v>
      </c>
      <c r="R1070" s="90">
        <v>1000</v>
      </c>
      <c r="S1070" s="1082"/>
      <c r="T1070" s="933"/>
      <c r="U1070" s="933"/>
      <c r="X1070" s="16"/>
      <c r="Y1070" s="16"/>
    </row>
    <row r="1071" spans="1:25" s="42" customFormat="1" ht="15">
      <c r="A1071" s="740"/>
      <c r="B1071" s="542" t="s">
        <v>6324</v>
      </c>
      <c r="C1071" s="164"/>
      <c r="D1071" s="444"/>
      <c r="E1071" s="647"/>
      <c r="H1071" s="283"/>
      <c r="I1071" s="283"/>
      <c r="K1071" s="283"/>
      <c r="L1071" s="283"/>
      <c r="M1071" s="283"/>
      <c r="N1071" s="283"/>
      <c r="O1071" s="815"/>
      <c r="P1071" s="164"/>
      <c r="Q1071" s="90">
        <v>1000</v>
      </c>
      <c r="R1071" s="90">
        <v>1000</v>
      </c>
      <c r="S1071" s="1082"/>
      <c r="T1071" s="933"/>
      <c r="U1071" s="933"/>
      <c r="X1071" s="16"/>
      <c r="Y1071" s="16"/>
    </row>
    <row r="1072" spans="1:25" s="42" customFormat="1" ht="15">
      <c r="A1072" s="740"/>
      <c r="B1072" s="542" t="s">
        <v>6325</v>
      </c>
      <c r="C1072" s="164"/>
      <c r="D1072" s="444"/>
      <c r="E1072" s="647"/>
      <c r="H1072" s="283"/>
      <c r="I1072" s="283"/>
      <c r="K1072" s="283"/>
      <c r="L1072" s="283"/>
      <c r="M1072" s="283"/>
      <c r="N1072" s="283"/>
      <c r="O1072" s="815"/>
      <c r="P1072" s="164"/>
      <c r="Q1072" s="90">
        <v>1000</v>
      </c>
      <c r="R1072" s="90">
        <v>1000</v>
      </c>
      <c r="S1072" s="1082"/>
      <c r="T1072" s="933"/>
      <c r="U1072" s="933"/>
      <c r="X1072" s="16"/>
      <c r="Y1072" s="16"/>
    </row>
    <row r="1073" spans="1:25" s="42" customFormat="1" ht="15">
      <c r="A1073" s="740"/>
      <c r="B1073" s="542" t="s">
        <v>6326</v>
      </c>
      <c r="C1073" s="164"/>
      <c r="D1073" s="444"/>
      <c r="E1073" s="647"/>
      <c r="H1073" s="283"/>
      <c r="I1073" s="283"/>
      <c r="K1073" s="283"/>
      <c r="L1073" s="283"/>
      <c r="M1073" s="283"/>
      <c r="N1073" s="283"/>
      <c r="O1073" s="815"/>
      <c r="P1073" s="164"/>
      <c r="Q1073" s="90">
        <v>1000</v>
      </c>
      <c r="R1073" s="90">
        <v>1000</v>
      </c>
      <c r="S1073" s="1082"/>
      <c r="T1073" s="933"/>
      <c r="U1073" s="933"/>
      <c r="X1073" s="16"/>
      <c r="Y1073" s="16"/>
    </row>
    <row r="1074" spans="1:25" s="42" customFormat="1" ht="15">
      <c r="A1074" s="740"/>
      <c r="B1074" s="542" t="s">
        <v>6327</v>
      </c>
      <c r="C1074" s="164"/>
      <c r="D1074" s="444"/>
      <c r="E1074" s="647"/>
      <c r="H1074" s="283"/>
      <c r="I1074" s="283"/>
      <c r="K1074" s="283"/>
      <c r="L1074" s="283"/>
      <c r="M1074" s="283"/>
      <c r="N1074" s="283"/>
      <c r="O1074" s="815"/>
      <c r="P1074" s="164"/>
      <c r="Q1074" s="90">
        <v>900</v>
      </c>
      <c r="R1074" s="90">
        <v>900</v>
      </c>
      <c r="S1074" s="1082"/>
      <c r="T1074" s="933"/>
      <c r="U1074" s="933"/>
      <c r="X1074" s="16"/>
      <c r="Y1074" s="16"/>
    </row>
    <row r="1075" spans="1:25" s="42" customFormat="1" ht="15">
      <c r="A1075" s="740"/>
      <c r="B1075" s="542" t="s">
        <v>6328</v>
      </c>
      <c r="C1075" s="164"/>
      <c r="D1075" s="444"/>
      <c r="E1075" s="647"/>
      <c r="H1075" s="283"/>
      <c r="I1075" s="283"/>
      <c r="K1075" s="283"/>
      <c r="L1075" s="283"/>
      <c r="M1075" s="283"/>
      <c r="N1075" s="283"/>
      <c r="O1075" s="815"/>
      <c r="P1075" s="164"/>
      <c r="Q1075" s="90">
        <v>1000</v>
      </c>
      <c r="R1075" s="90">
        <v>1000</v>
      </c>
      <c r="S1075" s="1082"/>
      <c r="T1075" s="933"/>
      <c r="U1075" s="933"/>
      <c r="X1075" s="16"/>
      <c r="Y1075" s="16"/>
    </row>
    <row r="1076" spans="1:25" s="42" customFormat="1" ht="15">
      <c r="A1076" s="740"/>
      <c r="B1076" s="542"/>
      <c r="C1076" s="164"/>
      <c r="D1076" s="444"/>
      <c r="E1076" s="647"/>
      <c r="H1076" s="283"/>
      <c r="I1076" s="283"/>
      <c r="K1076" s="283"/>
      <c r="L1076" s="283"/>
      <c r="M1076" s="283"/>
      <c r="N1076" s="283"/>
      <c r="O1076" s="815"/>
      <c r="P1076" s="164"/>
      <c r="Q1076" s="90"/>
      <c r="R1076" s="351"/>
      <c r="S1076" s="1066"/>
      <c r="T1076" s="933"/>
      <c r="U1076" s="933"/>
      <c r="X1076" s="16"/>
      <c r="Y1076" s="16"/>
    </row>
    <row r="1077" spans="1:25" s="42" customFormat="1" ht="15">
      <c r="A1077" s="740"/>
      <c r="B1077" s="446" t="s">
        <v>1642</v>
      </c>
      <c r="C1077" s="164" t="s">
        <v>2340</v>
      </c>
      <c r="D1077" s="444">
        <v>40876</v>
      </c>
      <c r="E1077" s="647"/>
      <c r="F1077" s="42" t="s">
        <v>315</v>
      </c>
      <c r="H1077" s="283"/>
      <c r="I1077" s="283"/>
      <c r="K1077" s="283">
        <v>156000</v>
      </c>
      <c r="L1077" s="283"/>
      <c r="M1077" s="283">
        <f t="shared" si="98"/>
        <v>156000</v>
      </c>
      <c r="N1077" s="283"/>
      <c r="O1077" s="815"/>
      <c r="P1077" s="164" t="s">
        <v>104</v>
      </c>
      <c r="Q1077" s="522">
        <v>156000</v>
      </c>
      <c r="R1077" s="522">
        <v>156000</v>
      </c>
      <c r="S1077" s="933"/>
      <c r="T1077" s="933"/>
      <c r="U1077" s="933"/>
      <c r="W1077" s="42" t="s">
        <v>2002</v>
      </c>
      <c r="X1077" s="16">
        <f t="shared" si="97"/>
        <v>156000</v>
      </c>
      <c r="Y1077" s="16">
        <f>X1077-M1077</f>
        <v>0</v>
      </c>
    </row>
    <row r="1078" spans="1:25" s="42" customFormat="1" ht="15">
      <c r="A1078" s="740"/>
      <c r="B1078" s="1170" t="s">
        <v>4656</v>
      </c>
      <c r="C1078" s="164"/>
      <c r="D1078" s="444"/>
      <c r="E1078" s="647"/>
      <c r="H1078" s="283"/>
      <c r="I1078" s="283"/>
      <c r="K1078" s="283"/>
      <c r="L1078" s="283"/>
      <c r="M1078" s="283"/>
      <c r="N1078" s="283"/>
      <c r="O1078" s="815"/>
      <c r="P1078" s="164"/>
      <c r="Q1078" s="730">
        <v>10000</v>
      </c>
      <c r="R1078" s="730">
        <v>10000</v>
      </c>
      <c r="S1078" s="894"/>
      <c r="T1078" s="933"/>
      <c r="U1078" s="933"/>
      <c r="X1078" s="16"/>
      <c r="Y1078" s="16"/>
    </row>
    <row r="1079" spans="1:25" s="42" customFormat="1" ht="15">
      <c r="A1079" s="740"/>
      <c r="B1079" s="1170" t="s">
        <v>4657</v>
      </c>
      <c r="C1079" s="164"/>
      <c r="D1079" s="444"/>
      <c r="E1079" s="647"/>
      <c r="H1079" s="283"/>
      <c r="I1079" s="283"/>
      <c r="K1079" s="283"/>
      <c r="L1079" s="283"/>
      <c r="M1079" s="283"/>
      <c r="N1079" s="283"/>
      <c r="O1079" s="815"/>
      <c r="P1079" s="164"/>
      <c r="Q1079" s="730"/>
      <c r="R1079" s="730"/>
      <c r="S1079" s="894"/>
      <c r="T1079" s="933"/>
      <c r="U1079" s="933"/>
      <c r="X1079" s="16"/>
      <c r="Y1079" s="16"/>
    </row>
    <row r="1080" spans="1:25" s="42" customFormat="1" ht="15">
      <c r="A1080" s="740"/>
      <c r="B1080" s="1170" t="s">
        <v>4658</v>
      </c>
      <c r="C1080" s="164"/>
      <c r="D1080" s="444"/>
      <c r="E1080" s="647"/>
      <c r="H1080" s="283"/>
      <c r="I1080" s="283"/>
      <c r="K1080" s="283"/>
      <c r="L1080" s="283"/>
      <c r="M1080" s="283"/>
      <c r="N1080" s="283"/>
      <c r="O1080" s="815"/>
      <c r="P1080" s="164"/>
      <c r="Q1080" s="730">
        <v>1000</v>
      </c>
      <c r="R1080" s="730">
        <v>1000</v>
      </c>
      <c r="S1080" s="894"/>
      <c r="T1080" s="933"/>
      <c r="U1080" s="933"/>
      <c r="X1080" s="16"/>
      <c r="Y1080" s="16"/>
    </row>
    <row r="1081" spans="1:25" s="42" customFormat="1" ht="15">
      <c r="A1081" s="740"/>
      <c r="B1081" s="1170" t="s">
        <v>4659</v>
      </c>
      <c r="C1081" s="164"/>
      <c r="D1081" s="444"/>
      <c r="E1081" s="647"/>
      <c r="H1081" s="283"/>
      <c r="I1081" s="283"/>
      <c r="K1081" s="283"/>
      <c r="L1081" s="283"/>
      <c r="M1081" s="283"/>
      <c r="N1081" s="283"/>
      <c r="O1081" s="815"/>
      <c r="P1081" s="164"/>
      <c r="Q1081" s="730">
        <v>700</v>
      </c>
      <c r="R1081" s="730">
        <v>700</v>
      </c>
      <c r="S1081" s="1346" t="s">
        <v>6173</v>
      </c>
      <c r="T1081" s="1346"/>
      <c r="U1081" s="1346"/>
      <c r="X1081" s="16"/>
      <c r="Y1081" s="16"/>
    </row>
    <row r="1082" spans="1:25" s="42" customFormat="1" ht="15">
      <c r="A1082" s="740"/>
      <c r="B1082" s="1170" t="s">
        <v>4660</v>
      </c>
      <c r="C1082" s="164"/>
      <c r="D1082" s="444"/>
      <c r="E1082" s="647"/>
      <c r="H1082" s="283"/>
      <c r="I1082" s="283"/>
      <c r="K1082" s="283"/>
      <c r="L1082" s="283"/>
      <c r="M1082" s="283"/>
      <c r="N1082" s="283"/>
      <c r="O1082" s="815"/>
      <c r="P1082" s="164"/>
      <c r="Q1082" s="730">
        <v>900</v>
      </c>
      <c r="R1082" s="730">
        <v>900</v>
      </c>
      <c r="S1082" s="1346" t="s">
        <v>6174</v>
      </c>
      <c r="T1082" s="1346"/>
      <c r="U1082" s="1346"/>
      <c r="X1082" s="16"/>
      <c r="Y1082" s="16"/>
    </row>
    <row r="1083" spans="1:25" s="42" customFormat="1" ht="15">
      <c r="A1083" s="740"/>
      <c r="B1083" s="1170" t="s">
        <v>4661</v>
      </c>
      <c r="C1083" s="164"/>
      <c r="D1083" s="444"/>
      <c r="E1083" s="647"/>
      <c r="H1083" s="283"/>
      <c r="I1083" s="283"/>
      <c r="K1083" s="283"/>
      <c r="L1083" s="283"/>
      <c r="M1083" s="283"/>
      <c r="N1083" s="283"/>
      <c r="O1083" s="815"/>
      <c r="P1083" s="164"/>
      <c r="Q1083" s="730">
        <v>700</v>
      </c>
      <c r="R1083" s="730">
        <v>700</v>
      </c>
      <c r="S1083" s="894"/>
      <c r="T1083" s="933"/>
      <c r="U1083" s="933"/>
      <c r="X1083" s="16"/>
      <c r="Y1083" s="16"/>
    </row>
    <row r="1084" spans="1:25" s="42" customFormat="1" ht="15">
      <c r="A1084" s="740"/>
      <c r="B1084" s="1170" t="s">
        <v>4662</v>
      </c>
      <c r="C1084" s="164"/>
      <c r="D1084" s="444"/>
      <c r="E1084" s="647"/>
      <c r="H1084" s="283"/>
      <c r="I1084" s="283"/>
      <c r="K1084" s="283"/>
      <c r="L1084" s="283"/>
      <c r="M1084" s="283"/>
      <c r="N1084" s="283"/>
      <c r="O1084" s="815"/>
      <c r="P1084" s="164"/>
      <c r="Q1084" s="730">
        <v>1000</v>
      </c>
      <c r="R1084" s="730">
        <v>1000</v>
      </c>
      <c r="S1084" s="894"/>
      <c r="T1084" s="933"/>
      <c r="U1084" s="933"/>
      <c r="X1084" s="16"/>
      <c r="Y1084" s="16"/>
    </row>
    <row r="1085" spans="1:25" s="42" customFormat="1" ht="15">
      <c r="A1085" s="740"/>
      <c r="B1085" s="1170" t="s">
        <v>4663</v>
      </c>
      <c r="C1085" s="164"/>
      <c r="D1085" s="444"/>
      <c r="E1085" s="647"/>
      <c r="H1085" s="283"/>
      <c r="I1085" s="283"/>
      <c r="K1085" s="283"/>
      <c r="L1085" s="283"/>
      <c r="M1085" s="283"/>
      <c r="N1085" s="283"/>
      <c r="O1085" s="815"/>
      <c r="P1085" s="164"/>
      <c r="Q1085" s="730">
        <v>500</v>
      </c>
      <c r="R1085" s="730">
        <v>500</v>
      </c>
      <c r="S1085" s="1346" t="s">
        <v>6175</v>
      </c>
      <c r="T1085" s="1346"/>
      <c r="U1085" s="1346"/>
      <c r="X1085" s="16"/>
      <c r="Y1085" s="16"/>
    </row>
    <row r="1086" spans="1:25" s="42" customFormat="1" ht="15">
      <c r="A1086" s="740"/>
      <c r="B1086" s="1170" t="s">
        <v>4664</v>
      </c>
      <c r="C1086" s="164"/>
      <c r="D1086" s="444"/>
      <c r="E1086" s="647"/>
      <c r="H1086" s="283"/>
      <c r="I1086" s="283"/>
      <c r="K1086" s="283"/>
      <c r="L1086" s="283"/>
      <c r="M1086" s="283"/>
      <c r="N1086" s="283"/>
      <c r="O1086" s="815"/>
      <c r="P1086" s="164"/>
      <c r="Q1086" s="730">
        <v>900</v>
      </c>
      <c r="R1086" s="730">
        <v>900</v>
      </c>
      <c r="S1086" s="894"/>
      <c r="T1086" s="933"/>
      <c r="U1086" s="933"/>
      <c r="X1086" s="16"/>
      <c r="Y1086" s="16"/>
    </row>
    <row r="1087" spans="1:25" s="42" customFormat="1" ht="15">
      <c r="A1087" s="740"/>
      <c r="B1087" s="1170" t="s">
        <v>4665</v>
      </c>
      <c r="C1087" s="164"/>
      <c r="D1087" s="444"/>
      <c r="E1087" s="647"/>
      <c r="H1087" s="283"/>
      <c r="I1087" s="283"/>
      <c r="K1087" s="283"/>
      <c r="L1087" s="283"/>
      <c r="M1087" s="283"/>
      <c r="N1087" s="283"/>
      <c r="O1087" s="815"/>
      <c r="P1087" s="164"/>
      <c r="Q1087" s="730">
        <v>500</v>
      </c>
      <c r="R1087" s="730">
        <v>500</v>
      </c>
      <c r="S1087" s="1346" t="s">
        <v>6176</v>
      </c>
      <c r="T1087" s="1346"/>
      <c r="U1087" s="1346"/>
      <c r="X1087" s="16"/>
      <c r="Y1087" s="16"/>
    </row>
    <row r="1088" spans="1:25" s="42" customFormat="1" ht="15">
      <c r="A1088" s="740"/>
      <c r="B1088" s="1170" t="s">
        <v>4666</v>
      </c>
      <c r="C1088" s="164"/>
      <c r="D1088" s="444"/>
      <c r="E1088" s="647"/>
      <c r="H1088" s="283"/>
      <c r="I1088" s="283"/>
      <c r="K1088" s="283"/>
      <c r="L1088" s="283"/>
      <c r="M1088" s="283"/>
      <c r="N1088" s="283"/>
      <c r="O1088" s="815"/>
      <c r="P1088" s="164"/>
      <c r="Q1088" s="730">
        <v>800</v>
      </c>
      <c r="R1088" s="730">
        <v>800</v>
      </c>
      <c r="S1088" s="894"/>
      <c r="T1088" s="933"/>
      <c r="U1088" s="933"/>
      <c r="X1088" s="16"/>
      <c r="Y1088" s="16"/>
    </row>
    <row r="1089" spans="1:25" s="42" customFormat="1" ht="15">
      <c r="A1089" s="740"/>
      <c r="B1089" s="1170" t="s">
        <v>4667</v>
      </c>
      <c r="C1089" s="164"/>
      <c r="D1089" s="444"/>
      <c r="E1089" s="647"/>
      <c r="H1089" s="283"/>
      <c r="I1089" s="283"/>
      <c r="K1089" s="283"/>
      <c r="L1089" s="283"/>
      <c r="M1089" s="283"/>
      <c r="N1089" s="283"/>
      <c r="O1089" s="815"/>
      <c r="P1089" s="164"/>
      <c r="Q1089" s="730">
        <v>600</v>
      </c>
      <c r="R1089" s="730">
        <v>600</v>
      </c>
      <c r="S1089" s="1346" t="s">
        <v>6177</v>
      </c>
      <c r="T1089" s="1346"/>
      <c r="U1089" s="1346"/>
      <c r="X1089" s="16"/>
      <c r="Y1089" s="16"/>
    </row>
    <row r="1090" spans="1:25" s="42" customFormat="1" ht="15">
      <c r="A1090" s="740"/>
      <c r="B1090" s="1170" t="s">
        <v>4668</v>
      </c>
      <c r="C1090" s="164"/>
      <c r="D1090" s="444"/>
      <c r="E1090" s="647"/>
      <c r="H1090" s="283"/>
      <c r="I1090" s="283"/>
      <c r="K1090" s="283"/>
      <c r="L1090" s="283"/>
      <c r="M1090" s="283"/>
      <c r="N1090" s="283"/>
      <c r="O1090" s="815"/>
      <c r="P1090" s="164"/>
      <c r="Q1090" s="730">
        <v>20000</v>
      </c>
      <c r="R1090" s="730">
        <v>20000</v>
      </c>
      <c r="S1090" s="894"/>
      <c r="T1090" s="933"/>
      <c r="U1090" s="933"/>
      <c r="X1090" s="16"/>
      <c r="Y1090" s="16"/>
    </row>
    <row r="1091" spans="1:25" s="42" customFormat="1" ht="15">
      <c r="A1091" s="740"/>
      <c r="B1091" s="1170" t="s">
        <v>4657</v>
      </c>
      <c r="C1091" s="164"/>
      <c r="D1091" s="444"/>
      <c r="E1091" s="647"/>
      <c r="H1091" s="283"/>
      <c r="I1091" s="283"/>
      <c r="K1091" s="283"/>
      <c r="L1091" s="283"/>
      <c r="M1091" s="283"/>
      <c r="N1091" s="283"/>
      <c r="O1091" s="815"/>
      <c r="P1091" s="164"/>
      <c r="Q1091" s="730"/>
      <c r="R1091" s="730"/>
      <c r="S1091" s="894"/>
      <c r="T1091" s="933"/>
      <c r="U1091" s="933"/>
      <c r="X1091" s="16"/>
      <c r="Y1091" s="16"/>
    </row>
    <row r="1092" spans="1:25" s="42" customFormat="1" ht="15">
      <c r="A1092" s="740"/>
      <c r="B1092" s="1170" t="s">
        <v>4669</v>
      </c>
      <c r="C1092" s="164"/>
      <c r="D1092" s="444"/>
      <c r="E1092" s="647"/>
      <c r="H1092" s="283"/>
      <c r="I1092" s="283"/>
      <c r="K1092" s="283"/>
      <c r="L1092" s="283"/>
      <c r="M1092" s="283"/>
      <c r="N1092" s="283"/>
      <c r="O1092" s="815"/>
      <c r="P1092" s="164"/>
      <c r="Q1092" s="730">
        <v>1000</v>
      </c>
      <c r="R1092" s="730">
        <v>1000</v>
      </c>
      <c r="S1092" s="894"/>
      <c r="T1092" s="933"/>
      <c r="U1092" s="933"/>
      <c r="X1092" s="16"/>
      <c r="Y1092" s="16"/>
    </row>
    <row r="1093" spans="1:25" s="42" customFormat="1" ht="15">
      <c r="A1093" s="740"/>
      <c r="B1093" s="1170" t="s">
        <v>4670</v>
      </c>
      <c r="C1093" s="164"/>
      <c r="D1093" s="444"/>
      <c r="E1093" s="647"/>
      <c r="H1093" s="283"/>
      <c r="I1093" s="283"/>
      <c r="K1093" s="283"/>
      <c r="L1093" s="283"/>
      <c r="M1093" s="283"/>
      <c r="N1093" s="283"/>
      <c r="O1093" s="815"/>
      <c r="P1093" s="164"/>
      <c r="Q1093" s="730">
        <v>2000</v>
      </c>
      <c r="R1093" s="730">
        <v>2000</v>
      </c>
      <c r="S1093" s="1346" t="s">
        <v>6178</v>
      </c>
      <c r="T1093" s="1346"/>
      <c r="U1093" s="1346"/>
      <c r="X1093" s="16"/>
      <c r="Y1093" s="16"/>
    </row>
    <row r="1094" spans="1:25" s="42" customFormat="1" ht="15">
      <c r="A1094" s="740"/>
      <c r="B1094" s="1170" t="s">
        <v>4671</v>
      </c>
      <c r="C1094" s="164"/>
      <c r="D1094" s="444"/>
      <c r="E1094" s="647"/>
      <c r="H1094" s="283"/>
      <c r="I1094" s="283"/>
      <c r="K1094" s="283"/>
      <c r="L1094" s="283"/>
      <c r="M1094" s="283"/>
      <c r="N1094" s="283"/>
      <c r="O1094" s="815"/>
      <c r="P1094" s="164"/>
      <c r="Q1094" s="730">
        <v>2000</v>
      </c>
      <c r="R1094" s="730">
        <v>2000</v>
      </c>
      <c r="S1094" s="894"/>
      <c r="T1094" s="933"/>
      <c r="U1094" s="933"/>
      <c r="X1094" s="16"/>
      <c r="Y1094" s="16"/>
    </row>
    <row r="1095" spans="1:25" s="42" customFormat="1" ht="15">
      <c r="A1095" s="740"/>
      <c r="B1095" s="1170" t="s">
        <v>4672</v>
      </c>
      <c r="C1095" s="164"/>
      <c r="D1095" s="444"/>
      <c r="E1095" s="647"/>
      <c r="H1095" s="283"/>
      <c r="I1095" s="283"/>
      <c r="K1095" s="283"/>
      <c r="L1095" s="283"/>
      <c r="M1095" s="283"/>
      <c r="N1095" s="283"/>
      <c r="O1095" s="815"/>
      <c r="P1095" s="164"/>
      <c r="Q1095" s="730">
        <v>2000</v>
      </c>
      <c r="R1095" s="730">
        <v>2000</v>
      </c>
      <c r="S1095" s="894"/>
      <c r="T1095" s="933"/>
      <c r="U1095" s="933"/>
      <c r="X1095" s="16"/>
      <c r="Y1095" s="16"/>
    </row>
    <row r="1096" spans="1:25" s="42" customFormat="1" ht="15">
      <c r="A1096" s="740"/>
      <c r="B1096" s="1170" t="s">
        <v>4673</v>
      </c>
      <c r="C1096" s="164"/>
      <c r="D1096" s="444"/>
      <c r="E1096" s="647"/>
      <c r="H1096" s="283"/>
      <c r="I1096" s="283"/>
      <c r="K1096" s="283"/>
      <c r="L1096" s="283"/>
      <c r="M1096" s="283"/>
      <c r="N1096" s="283"/>
      <c r="O1096" s="815"/>
      <c r="P1096" s="164"/>
      <c r="Q1096" s="730">
        <v>1000</v>
      </c>
      <c r="R1096" s="730">
        <v>1000</v>
      </c>
      <c r="S1096" s="894"/>
      <c r="T1096" s="933"/>
      <c r="U1096" s="933"/>
      <c r="X1096" s="16"/>
      <c r="Y1096" s="16"/>
    </row>
    <row r="1097" spans="1:25" s="42" customFormat="1" ht="32.25" customHeight="1">
      <c r="A1097" s="740"/>
      <c r="B1097" s="1170" t="s">
        <v>4674</v>
      </c>
      <c r="C1097" s="164"/>
      <c r="D1097" s="444"/>
      <c r="E1097" s="647"/>
      <c r="H1097" s="283"/>
      <c r="I1097" s="283"/>
      <c r="K1097" s="283"/>
      <c r="L1097" s="283"/>
      <c r="M1097" s="283"/>
      <c r="N1097" s="283"/>
      <c r="O1097" s="815"/>
      <c r="P1097" s="164"/>
      <c r="Q1097" s="730">
        <v>1000</v>
      </c>
      <c r="R1097" s="730">
        <v>1000</v>
      </c>
      <c r="S1097" s="1346" t="s">
        <v>4727</v>
      </c>
      <c r="T1097" s="1346"/>
      <c r="U1097" s="1346"/>
      <c r="X1097" s="16"/>
      <c r="Y1097" s="16"/>
    </row>
    <row r="1098" spans="1:25" s="42" customFormat="1" ht="15">
      <c r="A1098" s="740"/>
      <c r="B1098" s="1170" t="s">
        <v>4675</v>
      </c>
      <c r="C1098" s="164"/>
      <c r="D1098" s="444"/>
      <c r="E1098" s="647"/>
      <c r="H1098" s="283"/>
      <c r="I1098" s="283"/>
      <c r="K1098" s="283"/>
      <c r="L1098" s="283"/>
      <c r="M1098" s="283"/>
      <c r="N1098" s="283"/>
      <c r="O1098" s="815"/>
      <c r="P1098" s="164"/>
      <c r="Q1098" s="730">
        <v>1000</v>
      </c>
      <c r="R1098" s="730">
        <v>1000</v>
      </c>
      <c r="S1098" s="894"/>
      <c r="T1098" s="933"/>
      <c r="U1098" s="933"/>
      <c r="X1098" s="16"/>
      <c r="Y1098" s="16"/>
    </row>
    <row r="1099" spans="1:25" s="42" customFormat="1" ht="15">
      <c r="A1099" s="740"/>
      <c r="B1099" s="1170" t="s">
        <v>4676</v>
      </c>
      <c r="C1099" s="164"/>
      <c r="D1099" s="444"/>
      <c r="E1099" s="647"/>
      <c r="H1099" s="283"/>
      <c r="I1099" s="283"/>
      <c r="K1099" s="283"/>
      <c r="L1099" s="283"/>
      <c r="M1099" s="283"/>
      <c r="N1099" s="283"/>
      <c r="O1099" s="815"/>
      <c r="P1099" s="164"/>
      <c r="Q1099" s="730">
        <v>1000</v>
      </c>
      <c r="R1099" s="730">
        <v>1000</v>
      </c>
      <c r="S1099" s="894"/>
      <c r="T1099" s="933"/>
      <c r="U1099" s="933"/>
      <c r="X1099" s="16"/>
      <c r="Y1099" s="16"/>
    </row>
    <row r="1100" spans="1:25" s="42" customFormat="1" ht="15">
      <c r="A1100" s="740"/>
      <c r="B1100" s="1170" t="s">
        <v>4677</v>
      </c>
      <c r="C1100" s="164"/>
      <c r="D1100" s="444"/>
      <c r="E1100" s="647"/>
      <c r="H1100" s="283"/>
      <c r="I1100" s="283"/>
      <c r="K1100" s="283"/>
      <c r="L1100" s="283"/>
      <c r="M1100" s="283"/>
      <c r="N1100" s="283"/>
      <c r="O1100" s="815"/>
      <c r="P1100" s="164"/>
      <c r="Q1100" s="730">
        <v>1000</v>
      </c>
      <c r="R1100" s="730">
        <v>1000</v>
      </c>
      <c r="S1100" s="894"/>
      <c r="T1100" s="933"/>
      <c r="U1100" s="933"/>
      <c r="X1100" s="16"/>
      <c r="Y1100" s="16"/>
    </row>
    <row r="1101" spans="1:25" s="42" customFormat="1" ht="15">
      <c r="A1101" s="740"/>
      <c r="B1101" s="1170" t="s">
        <v>4678</v>
      </c>
      <c r="C1101" s="164"/>
      <c r="D1101" s="444"/>
      <c r="E1101" s="647"/>
      <c r="H1101" s="283"/>
      <c r="I1101" s="283"/>
      <c r="K1101" s="283"/>
      <c r="L1101" s="283"/>
      <c r="M1101" s="283"/>
      <c r="N1101" s="283"/>
      <c r="O1101" s="815"/>
      <c r="P1101" s="164"/>
      <c r="Q1101" s="730">
        <v>1000</v>
      </c>
      <c r="R1101" s="730">
        <v>1000</v>
      </c>
      <c r="S1101" s="894"/>
      <c r="T1101" s="933"/>
      <c r="U1101" s="933"/>
      <c r="X1101" s="16"/>
      <c r="Y1101" s="16"/>
    </row>
    <row r="1102" spans="1:25" s="42" customFormat="1" ht="30" customHeight="1">
      <c r="A1102" s="740"/>
      <c r="B1102" s="1170" t="s">
        <v>4679</v>
      </c>
      <c r="C1102" s="164"/>
      <c r="D1102" s="444"/>
      <c r="E1102" s="647"/>
      <c r="H1102" s="283"/>
      <c r="I1102" s="283"/>
      <c r="K1102" s="283"/>
      <c r="L1102" s="283"/>
      <c r="M1102" s="283"/>
      <c r="N1102" s="283"/>
      <c r="O1102" s="815"/>
      <c r="P1102" s="164"/>
      <c r="Q1102" s="730">
        <v>1000</v>
      </c>
      <c r="R1102" s="730">
        <v>1000</v>
      </c>
      <c r="S1102" s="1346" t="s">
        <v>4728</v>
      </c>
      <c r="T1102" s="1346"/>
      <c r="U1102" s="1346"/>
      <c r="X1102" s="16"/>
      <c r="Y1102" s="16"/>
    </row>
    <row r="1103" spans="1:25" s="42" customFormat="1" ht="60" customHeight="1">
      <c r="A1103" s="740"/>
      <c r="B1103" s="1170" t="s">
        <v>4680</v>
      </c>
      <c r="C1103" s="164"/>
      <c r="D1103" s="444"/>
      <c r="E1103" s="647"/>
      <c r="H1103" s="283"/>
      <c r="I1103" s="283"/>
      <c r="K1103" s="283"/>
      <c r="L1103" s="283"/>
      <c r="M1103" s="283"/>
      <c r="N1103" s="283"/>
      <c r="O1103" s="815"/>
      <c r="P1103" s="164"/>
      <c r="Q1103" s="730">
        <v>1000</v>
      </c>
      <c r="R1103" s="730">
        <v>1000</v>
      </c>
      <c r="S1103" s="1346" t="s">
        <v>6179</v>
      </c>
      <c r="T1103" s="1346"/>
      <c r="U1103" s="1346"/>
      <c r="X1103" s="16"/>
      <c r="Y1103" s="16"/>
    </row>
    <row r="1104" spans="1:25" s="42" customFormat="1" ht="15">
      <c r="A1104" s="740"/>
      <c r="B1104" s="1170" t="s">
        <v>4681</v>
      </c>
      <c r="C1104" s="164"/>
      <c r="D1104" s="444"/>
      <c r="E1104" s="647"/>
      <c r="H1104" s="283"/>
      <c r="I1104" s="283"/>
      <c r="K1104" s="283"/>
      <c r="L1104" s="283"/>
      <c r="M1104" s="283"/>
      <c r="N1104" s="283"/>
      <c r="O1104" s="815"/>
      <c r="P1104" s="164"/>
      <c r="Q1104" s="730">
        <v>1000</v>
      </c>
      <c r="R1104" s="730">
        <v>1000</v>
      </c>
      <c r="S1104" s="894"/>
      <c r="T1104" s="933"/>
      <c r="U1104" s="933"/>
      <c r="X1104" s="16"/>
      <c r="Y1104" s="16"/>
    </row>
    <row r="1105" spans="1:25" s="42" customFormat="1" ht="15">
      <c r="A1105" s="740"/>
      <c r="B1105" s="1170" t="s">
        <v>4682</v>
      </c>
      <c r="C1105" s="164"/>
      <c r="D1105" s="444"/>
      <c r="E1105" s="647"/>
      <c r="H1105" s="283"/>
      <c r="I1105" s="283"/>
      <c r="K1105" s="283"/>
      <c r="L1105" s="283"/>
      <c r="M1105" s="283"/>
      <c r="N1105" s="283"/>
      <c r="O1105" s="815"/>
      <c r="P1105" s="164"/>
      <c r="Q1105" s="730">
        <v>15000</v>
      </c>
      <c r="R1105" s="730">
        <v>15000</v>
      </c>
      <c r="S1105" s="894"/>
      <c r="T1105" s="933"/>
      <c r="U1105" s="933"/>
      <c r="X1105" s="16"/>
      <c r="Y1105" s="16"/>
    </row>
    <row r="1106" spans="1:25" s="42" customFormat="1" ht="15">
      <c r="A1106" s="740"/>
      <c r="B1106" s="1170" t="s">
        <v>4657</v>
      </c>
      <c r="C1106" s="164"/>
      <c r="D1106" s="444"/>
      <c r="E1106" s="647"/>
      <c r="H1106" s="283"/>
      <c r="I1106" s="283"/>
      <c r="K1106" s="283"/>
      <c r="L1106" s="283"/>
      <c r="M1106" s="283"/>
      <c r="N1106" s="283"/>
      <c r="O1106" s="815"/>
      <c r="P1106" s="164"/>
      <c r="Q1106" s="730"/>
      <c r="R1106" s="730"/>
      <c r="S1106" s="894"/>
      <c r="T1106" s="933"/>
      <c r="U1106" s="933"/>
      <c r="X1106" s="16"/>
      <c r="Y1106" s="16"/>
    </row>
    <row r="1107" spans="1:25" s="42" customFormat="1" ht="15">
      <c r="A1107" s="740"/>
      <c r="B1107" s="1170" t="s">
        <v>4683</v>
      </c>
      <c r="C1107" s="164"/>
      <c r="D1107" s="444"/>
      <c r="E1107" s="647"/>
      <c r="H1107" s="283"/>
      <c r="I1107" s="283"/>
      <c r="K1107" s="283"/>
      <c r="L1107" s="283"/>
      <c r="M1107" s="283"/>
      <c r="N1107" s="283"/>
      <c r="O1107" s="815"/>
      <c r="P1107" s="164"/>
      <c r="Q1107" s="730">
        <v>1000</v>
      </c>
      <c r="R1107" s="730">
        <v>1000</v>
      </c>
      <c r="S1107" s="894" t="s">
        <v>4637</v>
      </c>
      <c r="T1107" s="933"/>
      <c r="U1107" s="933"/>
      <c r="X1107" s="16"/>
      <c r="Y1107" s="16"/>
    </row>
    <row r="1108" spans="1:25" s="42" customFormat="1" ht="15">
      <c r="A1108" s="740"/>
      <c r="B1108" s="1170" t="s">
        <v>4684</v>
      </c>
      <c r="C1108" s="164"/>
      <c r="D1108" s="444"/>
      <c r="E1108" s="647"/>
      <c r="H1108" s="283"/>
      <c r="I1108" s="283"/>
      <c r="K1108" s="283"/>
      <c r="L1108" s="283"/>
      <c r="M1108" s="283"/>
      <c r="N1108" s="283"/>
      <c r="O1108" s="815"/>
      <c r="P1108" s="164"/>
      <c r="Q1108" s="730">
        <v>500</v>
      </c>
      <c r="R1108" s="730">
        <v>500</v>
      </c>
      <c r="S1108" s="894" t="s">
        <v>4637</v>
      </c>
      <c r="T1108" s="933"/>
      <c r="U1108" s="933"/>
      <c r="X1108" s="16"/>
      <c r="Y1108" s="16"/>
    </row>
    <row r="1109" spans="1:25" s="42" customFormat="1" ht="15">
      <c r="A1109" s="740"/>
      <c r="B1109" s="1170" t="s">
        <v>4685</v>
      </c>
      <c r="C1109" s="164"/>
      <c r="D1109" s="444"/>
      <c r="E1109" s="647"/>
      <c r="H1109" s="283"/>
      <c r="I1109" s="283"/>
      <c r="K1109" s="283"/>
      <c r="L1109" s="283"/>
      <c r="M1109" s="283"/>
      <c r="N1109" s="283"/>
      <c r="O1109" s="815"/>
      <c r="P1109" s="164"/>
      <c r="Q1109" s="730">
        <v>700</v>
      </c>
      <c r="R1109" s="730">
        <v>700</v>
      </c>
      <c r="S1109" s="894"/>
      <c r="T1109" s="933"/>
      <c r="U1109" s="933"/>
      <c r="X1109" s="16"/>
      <c r="Y1109" s="16"/>
    </row>
    <row r="1110" spans="1:25" s="42" customFormat="1" ht="15">
      <c r="A1110" s="740"/>
      <c r="B1110" s="1170" t="s">
        <v>4686</v>
      </c>
      <c r="C1110" s="164"/>
      <c r="D1110" s="444"/>
      <c r="E1110" s="647"/>
      <c r="H1110" s="283"/>
      <c r="I1110" s="283"/>
      <c r="K1110" s="283"/>
      <c r="L1110" s="283"/>
      <c r="M1110" s="283"/>
      <c r="N1110" s="283"/>
      <c r="O1110" s="815"/>
      <c r="P1110" s="164"/>
      <c r="Q1110" s="730">
        <v>900</v>
      </c>
      <c r="R1110" s="730">
        <v>900</v>
      </c>
      <c r="S1110" s="894" t="s">
        <v>4637</v>
      </c>
      <c r="T1110" s="933"/>
      <c r="U1110" s="933"/>
      <c r="X1110" s="16"/>
      <c r="Y1110" s="16"/>
    </row>
    <row r="1111" spans="1:25" s="42" customFormat="1" ht="15">
      <c r="A1111" s="740"/>
      <c r="B1111" s="1170" t="s">
        <v>4659</v>
      </c>
      <c r="C1111" s="164"/>
      <c r="D1111" s="444"/>
      <c r="E1111" s="647"/>
      <c r="H1111" s="283"/>
      <c r="I1111" s="283"/>
      <c r="K1111" s="283"/>
      <c r="L1111" s="283"/>
      <c r="M1111" s="283"/>
      <c r="N1111" s="283"/>
      <c r="O1111" s="815"/>
      <c r="P1111" s="164"/>
      <c r="Q1111" s="730">
        <v>600</v>
      </c>
      <c r="R1111" s="730">
        <v>600</v>
      </c>
      <c r="S1111" s="894" t="s">
        <v>4637</v>
      </c>
      <c r="T1111" s="933"/>
      <c r="U1111" s="933"/>
      <c r="X1111" s="16"/>
      <c r="Y1111" s="16"/>
    </row>
    <row r="1112" spans="1:25" s="42" customFormat="1" ht="15">
      <c r="A1112" s="740"/>
      <c r="B1112" s="1170" t="s">
        <v>4687</v>
      </c>
      <c r="C1112" s="164"/>
      <c r="D1112" s="444"/>
      <c r="E1112" s="647"/>
      <c r="H1112" s="283"/>
      <c r="I1112" s="283"/>
      <c r="K1112" s="283"/>
      <c r="L1112" s="283"/>
      <c r="M1112" s="283"/>
      <c r="N1112" s="283"/>
      <c r="O1112" s="815"/>
      <c r="P1112" s="164"/>
      <c r="Q1112" s="730">
        <v>700</v>
      </c>
      <c r="R1112" s="730">
        <v>700</v>
      </c>
      <c r="S1112" s="1346" t="s">
        <v>4729</v>
      </c>
      <c r="T1112" s="1346"/>
      <c r="U1112" s="1346"/>
      <c r="X1112" s="16"/>
      <c r="Y1112" s="16"/>
    </row>
    <row r="1113" spans="1:25" s="42" customFormat="1" ht="15">
      <c r="A1113" s="740"/>
      <c r="B1113" s="1170" t="s">
        <v>4688</v>
      </c>
      <c r="C1113" s="164"/>
      <c r="D1113" s="444"/>
      <c r="E1113" s="647"/>
      <c r="H1113" s="283"/>
      <c r="I1113" s="283"/>
      <c r="K1113" s="283"/>
      <c r="L1113" s="283"/>
      <c r="M1113" s="283"/>
      <c r="N1113" s="283"/>
      <c r="O1113" s="815"/>
      <c r="P1113" s="164"/>
      <c r="Q1113" s="730">
        <v>600</v>
      </c>
      <c r="R1113" s="730">
        <v>600</v>
      </c>
      <c r="S1113" s="894"/>
      <c r="T1113" s="933"/>
      <c r="U1113" s="933"/>
      <c r="X1113" s="16"/>
      <c r="Y1113" s="16"/>
    </row>
    <row r="1114" spans="1:25" s="42" customFormat="1" ht="15">
      <c r="A1114" s="740"/>
      <c r="B1114" s="1170" t="s">
        <v>4689</v>
      </c>
      <c r="C1114" s="164"/>
      <c r="D1114" s="444"/>
      <c r="E1114" s="647"/>
      <c r="H1114" s="283"/>
      <c r="I1114" s="283"/>
      <c r="K1114" s="283"/>
      <c r="L1114" s="283"/>
      <c r="M1114" s="283"/>
      <c r="N1114" s="283"/>
      <c r="O1114" s="815"/>
      <c r="P1114" s="164"/>
      <c r="Q1114" s="730">
        <v>1000</v>
      </c>
      <c r="R1114" s="730">
        <v>1000</v>
      </c>
      <c r="S1114" s="894" t="s">
        <v>4637</v>
      </c>
      <c r="T1114" s="933"/>
      <c r="U1114" s="933"/>
      <c r="X1114" s="16"/>
      <c r="Y1114" s="16"/>
    </row>
    <row r="1115" spans="1:25" s="42" customFormat="1" ht="15">
      <c r="A1115" s="740"/>
      <c r="B1115" s="1170" t="s">
        <v>4690</v>
      </c>
      <c r="C1115" s="164"/>
      <c r="D1115" s="444"/>
      <c r="E1115" s="647"/>
      <c r="H1115" s="283"/>
      <c r="I1115" s="283"/>
      <c r="K1115" s="283"/>
      <c r="L1115" s="283"/>
      <c r="M1115" s="283"/>
      <c r="N1115" s="283"/>
      <c r="O1115" s="815"/>
      <c r="P1115" s="164"/>
      <c r="Q1115" s="730">
        <v>700</v>
      </c>
      <c r="R1115" s="730">
        <v>700</v>
      </c>
      <c r="S1115" s="894"/>
      <c r="T1115" s="933"/>
      <c r="U1115" s="933"/>
      <c r="X1115" s="16"/>
      <c r="Y1115" s="16"/>
    </row>
    <row r="1116" spans="1:25" s="42" customFormat="1" ht="15">
      <c r="A1116" s="740"/>
      <c r="B1116" s="1170" t="s">
        <v>4691</v>
      </c>
      <c r="C1116" s="164"/>
      <c r="D1116" s="444"/>
      <c r="E1116" s="647"/>
      <c r="H1116" s="283"/>
      <c r="I1116" s="283"/>
      <c r="K1116" s="283"/>
      <c r="L1116" s="283"/>
      <c r="M1116" s="283"/>
      <c r="N1116" s="283"/>
      <c r="O1116" s="815"/>
      <c r="P1116" s="164"/>
      <c r="Q1116" s="730">
        <v>800</v>
      </c>
      <c r="R1116" s="730">
        <v>800</v>
      </c>
      <c r="S1116" s="894" t="s">
        <v>4637</v>
      </c>
      <c r="T1116" s="933"/>
      <c r="U1116" s="933"/>
      <c r="X1116" s="16"/>
      <c r="Y1116" s="16"/>
    </row>
    <row r="1117" spans="1:25" s="42" customFormat="1" ht="15">
      <c r="A1117" s="740"/>
      <c r="B1117" s="1170" t="s">
        <v>4692</v>
      </c>
      <c r="C1117" s="164"/>
      <c r="D1117" s="444"/>
      <c r="E1117" s="647"/>
      <c r="H1117" s="283"/>
      <c r="I1117" s="283"/>
      <c r="K1117" s="283"/>
      <c r="L1117" s="283"/>
      <c r="M1117" s="283"/>
      <c r="N1117" s="283"/>
      <c r="O1117" s="815"/>
      <c r="P1117" s="164"/>
      <c r="Q1117" s="730">
        <v>600</v>
      </c>
      <c r="R1117" s="730">
        <v>600</v>
      </c>
      <c r="S1117" s="894" t="s">
        <v>4637</v>
      </c>
      <c r="T1117" s="933"/>
      <c r="U1117" s="933"/>
      <c r="X1117" s="16"/>
      <c r="Y1117" s="16"/>
    </row>
    <row r="1118" spans="1:25" s="42" customFormat="1" ht="15">
      <c r="A1118" s="740"/>
      <c r="B1118" s="1170" t="s">
        <v>4693</v>
      </c>
      <c r="C1118" s="164"/>
      <c r="D1118" s="444"/>
      <c r="E1118" s="647"/>
      <c r="H1118" s="283"/>
      <c r="I1118" s="283"/>
      <c r="K1118" s="283"/>
      <c r="L1118" s="283"/>
      <c r="M1118" s="283"/>
      <c r="N1118" s="283"/>
      <c r="O1118" s="815"/>
      <c r="P1118" s="164"/>
      <c r="Q1118" s="730">
        <v>800</v>
      </c>
      <c r="R1118" s="730">
        <v>800</v>
      </c>
      <c r="S1118" s="894" t="s">
        <v>4637</v>
      </c>
      <c r="T1118" s="933"/>
      <c r="U1118" s="933"/>
      <c r="X1118" s="16"/>
      <c r="Y1118" s="16"/>
    </row>
    <row r="1119" spans="1:25" s="42" customFormat="1" ht="15">
      <c r="A1119" s="740"/>
      <c r="B1119" s="1170" t="s">
        <v>4694</v>
      </c>
      <c r="C1119" s="164"/>
      <c r="D1119" s="444"/>
      <c r="E1119" s="647"/>
      <c r="H1119" s="283"/>
      <c r="I1119" s="283"/>
      <c r="K1119" s="283"/>
      <c r="L1119" s="283"/>
      <c r="M1119" s="283"/>
      <c r="N1119" s="283"/>
      <c r="O1119" s="815"/>
      <c r="P1119" s="164"/>
      <c r="Q1119" s="730">
        <v>800</v>
      </c>
      <c r="R1119" s="730">
        <v>800</v>
      </c>
      <c r="S1119" s="894"/>
      <c r="T1119" s="933"/>
      <c r="U1119" s="933"/>
      <c r="X1119" s="16"/>
      <c r="Y1119" s="16"/>
    </row>
    <row r="1120" spans="1:25" s="42" customFormat="1" ht="15">
      <c r="A1120" s="740"/>
      <c r="B1120" s="1170" t="s">
        <v>4695</v>
      </c>
      <c r="C1120" s="164"/>
      <c r="D1120" s="444"/>
      <c r="E1120" s="647"/>
      <c r="H1120" s="283"/>
      <c r="I1120" s="283"/>
      <c r="K1120" s="283"/>
      <c r="L1120" s="283"/>
      <c r="M1120" s="283"/>
      <c r="N1120" s="283"/>
      <c r="O1120" s="815"/>
      <c r="P1120" s="164"/>
      <c r="Q1120" s="730">
        <v>1000</v>
      </c>
      <c r="R1120" s="730">
        <v>1000</v>
      </c>
      <c r="S1120" s="894"/>
      <c r="T1120" s="933"/>
      <c r="U1120" s="933"/>
      <c r="X1120" s="16"/>
      <c r="Y1120" s="16"/>
    </row>
    <row r="1121" spans="1:25" s="42" customFormat="1" ht="15">
      <c r="A1121" s="740"/>
      <c r="B1121" s="1170" t="s">
        <v>4696</v>
      </c>
      <c r="C1121" s="164"/>
      <c r="D1121" s="444"/>
      <c r="E1121" s="647"/>
      <c r="H1121" s="283"/>
      <c r="I1121" s="283"/>
      <c r="K1121" s="283"/>
      <c r="L1121" s="283"/>
      <c r="M1121" s="283"/>
      <c r="N1121" s="283"/>
      <c r="O1121" s="815"/>
      <c r="P1121" s="164"/>
      <c r="Q1121" s="730">
        <v>1000</v>
      </c>
      <c r="R1121" s="730">
        <v>1000</v>
      </c>
      <c r="S1121" s="894" t="s">
        <v>4730</v>
      </c>
      <c r="T1121" s="933"/>
      <c r="U1121" s="933"/>
      <c r="X1121" s="16"/>
      <c r="Y1121" s="16"/>
    </row>
    <row r="1122" spans="1:25" s="42" customFormat="1" ht="15">
      <c r="A1122" s="740"/>
      <c r="B1122" s="1170" t="s">
        <v>4697</v>
      </c>
      <c r="C1122" s="164"/>
      <c r="D1122" s="444"/>
      <c r="E1122" s="647"/>
      <c r="H1122" s="283"/>
      <c r="I1122" s="283"/>
      <c r="K1122" s="283"/>
      <c r="L1122" s="283"/>
      <c r="M1122" s="283"/>
      <c r="N1122" s="283"/>
      <c r="O1122" s="815"/>
      <c r="P1122" s="164"/>
      <c r="Q1122" s="730">
        <v>900</v>
      </c>
      <c r="R1122" s="730">
        <v>900</v>
      </c>
      <c r="S1122" s="894"/>
      <c r="T1122" s="933"/>
      <c r="U1122" s="933"/>
      <c r="X1122" s="16"/>
      <c r="Y1122" s="16"/>
    </row>
    <row r="1123" spans="1:25" s="42" customFormat="1" ht="15">
      <c r="A1123" s="740"/>
      <c r="B1123" s="1170" t="s">
        <v>4698</v>
      </c>
      <c r="C1123" s="164"/>
      <c r="D1123" s="444"/>
      <c r="E1123" s="647"/>
      <c r="H1123" s="283"/>
      <c r="I1123" s="283"/>
      <c r="K1123" s="283"/>
      <c r="L1123" s="283"/>
      <c r="M1123" s="283"/>
      <c r="N1123" s="283"/>
      <c r="O1123" s="815"/>
      <c r="P1123" s="164"/>
      <c r="Q1123" s="730">
        <v>25000</v>
      </c>
      <c r="R1123" s="730">
        <v>25000</v>
      </c>
      <c r="S1123" s="894" t="s">
        <v>4731</v>
      </c>
      <c r="T1123" s="933"/>
      <c r="U1123" s="933"/>
      <c r="X1123" s="16"/>
      <c r="Y1123" s="16"/>
    </row>
    <row r="1124" spans="1:25" s="42" customFormat="1" ht="33" customHeight="1">
      <c r="A1124" s="740"/>
      <c r="B1124" s="1170" t="s">
        <v>4699</v>
      </c>
      <c r="C1124" s="164"/>
      <c r="D1124" s="444"/>
      <c r="E1124" s="647"/>
      <c r="H1124" s="283"/>
      <c r="I1124" s="283"/>
      <c r="K1124" s="283"/>
      <c r="L1124" s="283"/>
      <c r="M1124" s="283"/>
      <c r="N1124" s="283"/>
      <c r="O1124" s="815"/>
      <c r="P1124" s="164"/>
      <c r="Q1124" s="730">
        <v>10000</v>
      </c>
      <c r="R1124" s="730">
        <v>10000</v>
      </c>
      <c r="S1124" s="1346" t="s">
        <v>4732</v>
      </c>
      <c r="T1124" s="1346"/>
      <c r="U1124" s="1346"/>
      <c r="X1124" s="16"/>
      <c r="Y1124" s="16"/>
    </row>
    <row r="1125" spans="1:25" s="42" customFormat="1" ht="15">
      <c r="A1125" s="740"/>
      <c r="B1125" s="1170" t="s">
        <v>4657</v>
      </c>
      <c r="C1125" s="164"/>
      <c r="D1125" s="444"/>
      <c r="E1125" s="647"/>
      <c r="H1125" s="283"/>
      <c r="I1125" s="283"/>
      <c r="K1125" s="283"/>
      <c r="L1125" s="283"/>
      <c r="M1125" s="283"/>
      <c r="N1125" s="283"/>
      <c r="O1125" s="815"/>
      <c r="P1125" s="164"/>
      <c r="Q1125" s="730"/>
      <c r="R1125" s="730"/>
      <c r="S1125" s="894"/>
      <c r="T1125" s="933"/>
      <c r="U1125" s="933"/>
      <c r="X1125" s="16"/>
      <c r="Y1125" s="16"/>
    </row>
    <row r="1126" spans="1:25" s="42" customFormat="1" ht="15">
      <c r="A1126" s="740"/>
      <c r="B1126" s="1170" t="s">
        <v>4700</v>
      </c>
      <c r="C1126" s="164"/>
      <c r="D1126" s="444"/>
      <c r="E1126" s="647"/>
      <c r="H1126" s="283"/>
      <c r="I1126" s="283"/>
      <c r="K1126" s="283"/>
      <c r="L1126" s="283"/>
      <c r="M1126" s="283"/>
      <c r="N1126" s="283"/>
      <c r="O1126" s="815"/>
      <c r="P1126" s="164"/>
      <c r="Q1126" s="730">
        <v>500</v>
      </c>
      <c r="R1126" s="730">
        <v>500</v>
      </c>
      <c r="S1126" s="1346" t="s">
        <v>4733</v>
      </c>
      <c r="T1126" s="1346"/>
      <c r="U1126" s="1346"/>
      <c r="X1126" s="16"/>
      <c r="Y1126" s="16"/>
    </row>
    <row r="1127" spans="1:25" s="42" customFormat="1" ht="15">
      <c r="A1127" s="740"/>
      <c r="B1127" s="1170" t="s">
        <v>4701</v>
      </c>
      <c r="C1127" s="164"/>
      <c r="D1127" s="444"/>
      <c r="E1127" s="647"/>
      <c r="H1127" s="283"/>
      <c r="I1127" s="283"/>
      <c r="K1127" s="283"/>
      <c r="L1127" s="283"/>
      <c r="M1127" s="283"/>
      <c r="N1127" s="283"/>
      <c r="O1127" s="815"/>
      <c r="P1127" s="164"/>
      <c r="Q1127" s="730">
        <v>500</v>
      </c>
      <c r="R1127" s="730">
        <v>500</v>
      </c>
      <c r="S1127" s="1346" t="s">
        <v>4733</v>
      </c>
      <c r="T1127" s="1346"/>
      <c r="U1127" s="1346"/>
      <c r="X1127" s="16"/>
      <c r="Y1127" s="16"/>
    </row>
    <row r="1128" spans="1:25" s="42" customFormat="1" ht="15">
      <c r="A1128" s="740"/>
      <c r="B1128" s="1170" t="s">
        <v>4702</v>
      </c>
      <c r="C1128" s="164"/>
      <c r="D1128" s="444"/>
      <c r="E1128" s="647"/>
      <c r="H1128" s="283"/>
      <c r="I1128" s="283"/>
      <c r="K1128" s="283"/>
      <c r="L1128" s="283"/>
      <c r="M1128" s="283"/>
      <c r="N1128" s="283"/>
      <c r="O1128" s="815"/>
      <c r="P1128" s="164"/>
      <c r="Q1128" s="730">
        <v>300</v>
      </c>
      <c r="R1128" s="730">
        <v>300</v>
      </c>
      <c r="S1128" s="894"/>
      <c r="T1128" s="933"/>
      <c r="U1128" s="933"/>
      <c r="X1128" s="16"/>
      <c r="Y1128" s="16"/>
    </row>
    <row r="1129" spans="1:25" s="42" customFormat="1" ht="15">
      <c r="A1129" s="740"/>
      <c r="B1129" s="1170" t="s">
        <v>4703</v>
      </c>
      <c r="C1129" s="164"/>
      <c r="D1129" s="444"/>
      <c r="E1129" s="647"/>
      <c r="H1129" s="283"/>
      <c r="I1129" s="283"/>
      <c r="K1129" s="283"/>
      <c r="L1129" s="283"/>
      <c r="M1129" s="283"/>
      <c r="N1129" s="283"/>
      <c r="O1129" s="815"/>
      <c r="P1129" s="164"/>
      <c r="Q1129" s="730">
        <v>900</v>
      </c>
      <c r="R1129" s="730">
        <v>900</v>
      </c>
      <c r="S1129" s="1346" t="s">
        <v>4734</v>
      </c>
      <c r="T1129" s="1346"/>
      <c r="U1129" s="1346"/>
      <c r="X1129" s="16"/>
      <c r="Y1129" s="16"/>
    </row>
    <row r="1130" spans="1:25" s="42" customFormat="1" ht="15">
      <c r="A1130" s="740"/>
      <c r="B1130" s="1170" t="s">
        <v>4704</v>
      </c>
      <c r="C1130" s="164"/>
      <c r="D1130" s="444"/>
      <c r="E1130" s="647"/>
      <c r="H1130" s="283"/>
      <c r="I1130" s="283"/>
      <c r="K1130" s="283"/>
      <c r="L1130" s="283"/>
      <c r="M1130" s="283"/>
      <c r="N1130" s="283"/>
      <c r="O1130" s="815"/>
      <c r="P1130" s="164"/>
      <c r="Q1130" s="730">
        <v>600</v>
      </c>
      <c r="R1130" s="730">
        <v>600</v>
      </c>
      <c r="S1130" s="894"/>
      <c r="T1130" s="933"/>
      <c r="U1130" s="933"/>
      <c r="X1130" s="16"/>
      <c r="Y1130" s="16"/>
    </row>
    <row r="1131" spans="1:25" s="42" customFormat="1" ht="15">
      <c r="A1131" s="740"/>
      <c r="B1131" s="1170" t="s">
        <v>4705</v>
      </c>
      <c r="C1131" s="164"/>
      <c r="D1131" s="444"/>
      <c r="E1131" s="647"/>
      <c r="H1131" s="283"/>
      <c r="I1131" s="283"/>
      <c r="K1131" s="283"/>
      <c r="L1131" s="283"/>
      <c r="M1131" s="283"/>
      <c r="N1131" s="283"/>
      <c r="O1131" s="815"/>
      <c r="P1131" s="164"/>
      <c r="Q1131" s="730">
        <v>600</v>
      </c>
      <c r="R1131" s="730">
        <v>600</v>
      </c>
      <c r="S1131" s="894"/>
      <c r="T1131" s="933"/>
      <c r="U1131" s="933"/>
      <c r="X1131" s="16"/>
      <c r="Y1131" s="16"/>
    </row>
    <row r="1132" spans="1:25" s="42" customFormat="1" ht="15">
      <c r="A1132" s="740"/>
      <c r="B1132" s="1170" t="s">
        <v>4706</v>
      </c>
      <c r="C1132" s="164"/>
      <c r="D1132" s="444"/>
      <c r="E1132" s="647"/>
      <c r="H1132" s="283"/>
      <c r="I1132" s="283"/>
      <c r="K1132" s="283"/>
      <c r="L1132" s="283"/>
      <c r="M1132" s="283"/>
      <c r="N1132" s="283"/>
      <c r="O1132" s="815"/>
      <c r="P1132" s="164"/>
      <c r="Q1132" s="730">
        <v>500</v>
      </c>
      <c r="R1132" s="730">
        <v>500</v>
      </c>
      <c r="S1132" s="894"/>
      <c r="T1132" s="933"/>
      <c r="U1132" s="933"/>
      <c r="X1132" s="16"/>
      <c r="Y1132" s="16"/>
    </row>
    <row r="1133" spans="1:25" s="42" customFormat="1" ht="15">
      <c r="A1133" s="740"/>
      <c r="B1133" s="1170" t="s">
        <v>4707</v>
      </c>
      <c r="C1133" s="164"/>
      <c r="D1133" s="444"/>
      <c r="E1133" s="647"/>
      <c r="H1133" s="283"/>
      <c r="I1133" s="283"/>
      <c r="K1133" s="283"/>
      <c r="L1133" s="283"/>
      <c r="M1133" s="283"/>
      <c r="N1133" s="283"/>
      <c r="O1133" s="815"/>
      <c r="P1133" s="164"/>
      <c r="Q1133" s="730">
        <v>600</v>
      </c>
      <c r="R1133" s="730">
        <v>600</v>
      </c>
      <c r="S1133" s="894"/>
      <c r="T1133" s="933"/>
      <c r="U1133" s="933"/>
      <c r="X1133" s="16"/>
      <c r="Y1133" s="16"/>
    </row>
    <row r="1134" spans="1:25" s="42" customFormat="1" ht="15">
      <c r="A1134" s="740"/>
      <c r="B1134" s="1170" t="s">
        <v>4708</v>
      </c>
      <c r="C1134" s="164"/>
      <c r="D1134" s="444"/>
      <c r="E1134" s="647"/>
      <c r="H1134" s="283"/>
      <c r="I1134" s="283"/>
      <c r="K1134" s="283"/>
      <c r="L1134" s="283"/>
      <c r="M1134" s="283"/>
      <c r="N1134" s="283"/>
      <c r="O1134" s="815"/>
      <c r="P1134" s="164"/>
      <c r="Q1134" s="730">
        <v>700</v>
      </c>
      <c r="R1134" s="730">
        <v>700</v>
      </c>
      <c r="S1134" s="894"/>
      <c r="T1134" s="933"/>
      <c r="U1134" s="933"/>
      <c r="X1134" s="16"/>
      <c r="Y1134" s="16"/>
    </row>
    <row r="1135" spans="1:25" s="42" customFormat="1" ht="15">
      <c r="A1135" s="740"/>
      <c r="B1135" s="1170" t="s">
        <v>4709</v>
      </c>
      <c r="C1135" s="164"/>
      <c r="D1135" s="444"/>
      <c r="E1135" s="647"/>
      <c r="H1135" s="283"/>
      <c r="I1135" s="283"/>
      <c r="K1135" s="283"/>
      <c r="L1135" s="283"/>
      <c r="M1135" s="283"/>
      <c r="N1135" s="283"/>
      <c r="O1135" s="815"/>
      <c r="P1135" s="164"/>
      <c r="Q1135" s="730">
        <v>500</v>
      </c>
      <c r="R1135" s="730">
        <v>500</v>
      </c>
      <c r="S1135" s="894"/>
      <c r="T1135" s="933"/>
      <c r="U1135" s="933"/>
      <c r="X1135" s="16"/>
      <c r="Y1135" s="16"/>
    </row>
    <row r="1136" spans="1:25" s="42" customFormat="1" ht="15">
      <c r="A1136" s="740"/>
      <c r="B1136" s="1170" t="s">
        <v>4710</v>
      </c>
      <c r="C1136" s="164"/>
      <c r="D1136" s="444"/>
      <c r="E1136" s="647"/>
      <c r="H1136" s="283"/>
      <c r="I1136" s="283"/>
      <c r="K1136" s="283"/>
      <c r="L1136" s="283"/>
      <c r="M1136" s="283"/>
      <c r="N1136" s="283"/>
      <c r="O1136" s="815"/>
      <c r="P1136" s="164"/>
      <c r="Q1136" s="730">
        <v>400</v>
      </c>
      <c r="R1136" s="730">
        <v>400</v>
      </c>
      <c r="S1136" s="894"/>
      <c r="T1136" s="933"/>
      <c r="U1136" s="933"/>
      <c r="X1136" s="16"/>
      <c r="Y1136" s="16"/>
    </row>
    <row r="1137" spans="1:25" s="42" customFormat="1" ht="15">
      <c r="A1137" s="740"/>
      <c r="B1137" s="1170" t="s">
        <v>4711</v>
      </c>
      <c r="C1137" s="164"/>
      <c r="D1137" s="444"/>
      <c r="E1137" s="647"/>
      <c r="H1137" s="283"/>
      <c r="I1137" s="283"/>
      <c r="K1137" s="283"/>
      <c r="L1137" s="283"/>
      <c r="M1137" s="283"/>
      <c r="N1137" s="283"/>
      <c r="O1137" s="815"/>
      <c r="P1137" s="164"/>
      <c r="Q1137" s="730">
        <v>600</v>
      </c>
      <c r="R1137" s="730">
        <v>600</v>
      </c>
      <c r="S1137" s="894"/>
      <c r="T1137" s="933"/>
      <c r="U1137" s="933"/>
      <c r="X1137" s="16"/>
      <c r="Y1137" s="16"/>
    </row>
    <row r="1138" spans="1:25" s="42" customFormat="1" ht="15">
      <c r="A1138" s="740"/>
      <c r="B1138" s="1170" t="s">
        <v>4712</v>
      </c>
      <c r="C1138" s="164"/>
      <c r="D1138" s="444"/>
      <c r="E1138" s="647"/>
      <c r="H1138" s="283"/>
      <c r="I1138" s="283"/>
      <c r="K1138" s="283"/>
      <c r="L1138" s="283"/>
      <c r="M1138" s="283"/>
      <c r="N1138" s="283"/>
      <c r="O1138" s="815"/>
      <c r="P1138" s="164"/>
      <c r="Q1138" s="730">
        <v>400</v>
      </c>
      <c r="R1138" s="730">
        <v>400</v>
      </c>
      <c r="S1138" s="894"/>
      <c r="T1138" s="933"/>
      <c r="U1138" s="933"/>
      <c r="X1138" s="16"/>
      <c r="Y1138" s="16"/>
    </row>
    <row r="1139" spans="1:25" s="42" customFormat="1" ht="15">
      <c r="A1139" s="740"/>
      <c r="B1139" s="1170" t="s">
        <v>4713</v>
      </c>
      <c r="C1139" s="164"/>
      <c r="D1139" s="444"/>
      <c r="E1139" s="647"/>
      <c r="H1139" s="283"/>
      <c r="I1139" s="283"/>
      <c r="K1139" s="283"/>
      <c r="L1139" s="283"/>
      <c r="M1139" s="283"/>
      <c r="N1139" s="283"/>
      <c r="O1139" s="815"/>
      <c r="P1139" s="164"/>
      <c r="Q1139" s="730">
        <v>500</v>
      </c>
      <c r="R1139" s="730">
        <v>500</v>
      </c>
      <c r="S1139" s="894"/>
      <c r="T1139" s="933"/>
      <c r="U1139" s="933"/>
      <c r="X1139" s="16"/>
      <c r="Y1139" s="16"/>
    </row>
    <row r="1140" spans="1:25" s="42" customFormat="1" ht="15">
      <c r="A1140" s="740"/>
      <c r="B1140" s="1170" t="s">
        <v>4714</v>
      </c>
      <c r="C1140" s="164"/>
      <c r="D1140" s="444"/>
      <c r="E1140" s="647"/>
      <c r="H1140" s="283"/>
      <c r="I1140" s="283"/>
      <c r="K1140" s="283"/>
      <c r="L1140" s="283"/>
      <c r="M1140" s="283"/>
      <c r="N1140" s="283"/>
      <c r="O1140" s="815"/>
      <c r="P1140" s="164"/>
      <c r="Q1140" s="730">
        <v>400</v>
      </c>
      <c r="R1140" s="730">
        <v>400</v>
      </c>
      <c r="S1140" s="894"/>
      <c r="T1140" s="933"/>
      <c r="U1140" s="933"/>
      <c r="X1140" s="16"/>
      <c r="Y1140" s="16"/>
    </row>
    <row r="1141" spans="1:25" s="42" customFormat="1" ht="15">
      <c r="A1141" s="740"/>
      <c r="B1141" s="1170" t="s">
        <v>4715</v>
      </c>
      <c r="C1141" s="164"/>
      <c r="D1141" s="444"/>
      <c r="E1141" s="647"/>
      <c r="H1141" s="283"/>
      <c r="I1141" s="283"/>
      <c r="K1141" s="283"/>
      <c r="L1141" s="283"/>
      <c r="M1141" s="283"/>
      <c r="N1141" s="283"/>
      <c r="O1141" s="815"/>
      <c r="P1141" s="164"/>
      <c r="Q1141" s="730">
        <v>400</v>
      </c>
      <c r="R1141" s="730">
        <v>400</v>
      </c>
      <c r="S1141" s="894"/>
      <c r="T1141" s="933"/>
      <c r="U1141" s="933"/>
      <c r="X1141" s="16"/>
      <c r="Y1141" s="16"/>
    </row>
    <row r="1142" spans="1:25" s="42" customFormat="1" ht="15">
      <c r="A1142" s="740"/>
      <c r="B1142" s="1170" t="s">
        <v>4716</v>
      </c>
      <c r="C1142" s="164"/>
      <c r="D1142" s="444"/>
      <c r="E1142" s="647"/>
      <c r="H1142" s="283"/>
      <c r="I1142" s="283"/>
      <c r="K1142" s="283"/>
      <c r="L1142" s="283"/>
      <c r="M1142" s="283"/>
      <c r="N1142" s="283"/>
      <c r="O1142" s="815"/>
      <c r="P1142" s="164"/>
      <c r="Q1142" s="730">
        <v>400</v>
      </c>
      <c r="R1142" s="730">
        <v>400</v>
      </c>
      <c r="S1142" s="894"/>
      <c r="T1142" s="933"/>
      <c r="U1142" s="933"/>
      <c r="X1142" s="16"/>
      <c r="Y1142" s="16"/>
    </row>
    <row r="1143" spans="1:25" s="42" customFormat="1" ht="15">
      <c r="A1143" s="740"/>
      <c r="B1143" s="1170" t="s">
        <v>4717</v>
      </c>
      <c r="C1143" s="164"/>
      <c r="D1143" s="444"/>
      <c r="E1143" s="647"/>
      <c r="H1143" s="283"/>
      <c r="I1143" s="283"/>
      <c r="K1143" s="283"/>
      <c r="L1143" s="283"/>
      <c r="M1143" s="283"/>
      <c r="N1143" s="283"/>
      <c r="O1143" s="815"/>
      <c r="P1143" s="164"/>
      <c r="Q1143" s="730">
        <v>600</v>
      </c>
      <c r="R1143" s="730">
        <v>600</v>
      </c>
      <c r="S1143" s="894"/>
      <c r="T1143" s="933"/>
      <c r="U1143" s="933"/>
      <c r="X1143" s="16"/>
      <c r="Y1143" s="16"/>
    </row>
    <row r="1144" spans="1:25" s="42" customFormat="1" ht="15">
      <c r="A1144" s="740"/>
      <c r="B1144" s="1170" t="s">
        <v>4718</v>
      </c>
      <c r="C1144" s="164"/>
      <c r="D1144" s="444"/>
      <c r="E1144" s="647"/>
      <c r="H1144" s="283"/>
      <c r="I1144" s="283"/>
      <c r="K1144" s="283"/>
      <c r="L1144" s="283"/>
      <c r="M1144" s="283"/>
      <c r="N1144" s="283"/>
      <c r="O1144" s="815"/>
      <c r="P1144" s="164"/>
      <c r="Q1144" s="730">
        <v>500</v>
      </c>
      <c r="R1144" s="730">
        <v>500</v>
      </c>
      <c r="S1144" s="894"/>
      <c r="T1144" s="933"/>
      <c r="U1144" s="933"/>
      <c r="X1144" s="16"/>
      <c r="Y1144" s="16"/>
    </row>
    <row r="1145" spans="1:25" s="42" customFormat="1" ht="15">
      <c r="A1145" s="740"/>
      <c r="B1145" s="1170" t="s">
        <v>4719</v>
      </c>
      <c r="C1145" s="164"/>
      <c r="D1145" s="444"/>
      <c r="E1145" s="647"/>
      <c r="H1145" s="283"/>
      <c r="I1145" s="283"/>
      <c r="K1145" s="283"/>
      <c r="L1145" s="283"/>
      <c r="M1145" s="283"/>
      <c r="N1145" s="283"/>
      <c r="O1145" s="815"/>
      <c r="P1145" s="164"/>
      <c r="Q1145" s="730">
        <v>400</v>
      </c>
      <c r="R1145" s="730">
        <v>400</v>
      </c>
      <c r="S1145" s="894"/>
      <c r="T1145" s="933"/>
      <c r="U1145" s="933"/>
      <c r="X1145" s="16"/>
      <c r="Y1145" s="16"/>
    </row>
    <row r="1146" spans="1:25" s="42" customFormat="1" ht="15">
      <c r="A1146" s="740"/>
      <c r="B1146" s="1170" t="s">
        <v>4720</v>
      </c>
      <c r="C1146" s="164"/>
      <c r="D1146" s="444"/>
      <c r="E1146" s="647"/>
      <c r="H1146" s="283"/>
      <c r="I1146" s="283"/>
      <c r="K1146" s="283"/>
      <c r="L1146" s="283"/>
      <c r="M1146" s="283"/>
      <c r="N1146" s="283"/>
      <c r="O1146" s="815"/>
      <c r="P1146" s="164"/>
      <c r="Q1146" s="730">
        <v>700</v>
      </c>
      <c r="R1146" s="730">
        <v>700</v>
      </c>
      <c r="S1146" s="894"/>
      <c r="T1146" s="933"/>
      <c r="U1146" s="933"/>
      <c r="X1146" s="16"/>
      <c r="Y1146" s="16"/>
    </row>
    <row r="1147" spans="1:25" s="42" customFormat="1" ht="15">
      <c r="A1147" s="740"/>
      <c r="B1147" s="1170" t="s">
        <v>4721</v>
      </c>
      <c r="C1147" s="164"/>
      <c r="D1147" s="444"/>
      <c r="E1147" s="647"/>
      <c r="H1147" s="283"/>
      <c r="I1147" s="283"/>
      <c r="K1147" s="283"/>
      <c r="L1147" s="283"/>
      <c r="M1147" s="283"/>
      <c r="N1147" s="283"/>
      <c r="O1147" s="815"/>
      <c r="P1147" s="164"/>
      <c r="Q1147" s="730">
        <v>700</v>
      </c>
      <c r="R1147" s="730">
        <v>700</v>
      </c>
      <c r="S1147" s="894"/>
      <c r="T1147" s="933"/>
      <c r="U1147" s="933"/>
      <c r="X1147" s="16"/>
      <c r="Y1147" s="16"/>
    </row>
    <row r="1148" spans="1:25" s="42" customFormat="1" ht="15">
      <c r="A1148" s="740"/>
      <c r="B1148" s="1170" t="s">
        <v>4722</v>
      </c>
      <c r="C1148" s="164"/>
      <c r="D1148" s="444"/>
      <c r="E1148" s="647"/>
      <c r="H1148" s="283"/>
      <c r="I1148" s="283"/>
      <c r="K1148" s="283"/>
      <c r="L1148" s="283"/>
      <c r="M1148" s="283"/>
      <c r="N1148" s="283"/>
      <c r="O1148" s="815"/>
      <c r="P1148" s="164"/>
      <c r="Q1148" s="730">
        <v>600</v>
      </c>
      <c r="R1148" s="730">
        <v>600</v>
      </c>
      <c r="S1148" s="894"/>
      <c r="T1148" s="933"/>
      <c r="U1148" s="933"/>
      <c r="X1148" s="16"/>
      <c r="Y1148" s="16"/>
    </row>
    <row r="1149" spans="1:25" s="42" customFormat="1" ht="15">
      <c r="A1149" s="740"/>
      <c r="B1149" s="1170" t="s">
        <v>4723</v>
      </c>
      <c r="C1149" s="164"/>
      <c r="D1149" s="444"/>
      <c r="E1149" s="647"/>
      <c r="H1149" s="283"/>
      <c r="I1149" s="283"/>
      <c r="K1149" s="283"/>
      <c r="L1149" s="283"/>
      <c r="M1149" s="283"/>
      <c r="N1149" s="283"/>
      <c r="O1149" s="815"/>
      <c r="P1149" s="164"/>
      <c r="Q1149" s="730">
        <v>700</v>
      </c>
      <c r="R1149" s="730">
        <v>700</v>
      </c>
      <c r="S1149" s="894"/>
      <c r="T1149" s="933"/>
      <c r="U1149" s="933"/>
      <c r="X1149" s="16"/>
      <c r="Y1149" s="16"/>
    </row>
    <row r="1150" spans="1:25" s="42" customFormat="1" ht="15">
      <c r="A1150" s="740"/>
      <c r="B1150" s="1170" t="s">
        <v>4672</v>
      </c>
      <c r="C1150" s="164"/>
      <c r="D1150" s="444"/>
      <c r="E1150" s="647"/>
      <c r="H1150" s="283"/>
      <c r="I1150" s="283"/>
      <c r="K1150" s="283"/>
      <c r="L1150" s="283"/>
      <c r="M1150" s="283"/>
      <c r="N1150" s="283"/>
      <c r="O1150" s="815"/>
      <c r="P1150" s="164"/>
      <c r="Q1150" s="730">
        <v>700</v>
      </c>
      <c r="R1150" s="730">
        <v>700</v>
      </c>
      <c r="S1150" s="894"/>
      <c r="T1150" s="933"/>
      <c r="U1150" s="933"/>
      <c r="X1150" s="16"/>
      <c r="Y1150" s="16"/>
    </row>
    <row r="1151" spans="1:25" s="42" customFormat="1" ht="15">
      <c r="A1151" s="740"/>
      <c r="B1151" s="1170" t="s">
        <v>4724</v>
      </c>
      <c r="C1151" s="164"/>
      <c r="D1151" s="444"/>
      <c r="E1151" s="647"/>
      <c r="H1151" s="283"/>
      <c r="I1151" s="283"/>
      <c r="K1151" s="283"/>
      <c r="L1151" s="283"/>
      <c r="M1151" s="283"/>
      <c r="N1151" s="283"/>
      <c r="O1151" s="815"/>
      <c r="P1151" s="164"/>
      <c r="Q1151" s="730">
        <v>600</v>
      </c>
      <c r="R1151" s="730">
        <v>600</v>
      </c>
      <c r="S1151" s="894"/>
      <c r="T1151" s="933"/>
      <c r="U1151" s="933"/>
      <c r="X1151" s="16"/>
      <c r="Y1151" s="16"/>
    </row>
    <row r="1152" spans="1:25" s="42" customFormat="1" ht="15">
      <c r="A1152" s="740"/>
      <c r="B1152" s="1170" t="s">
        <v>4725</v>
      </c>
      <c r="C1152" s="164"/>
      <c r="D1152" s="444"/>
      <c r="E1152" s="647"/>
      <c r="H1152" s="283"/>
      <c r="I1152" s="283"/>
      <c r="K1152" s="283"/>
      <c r="L1152" s="283"/>
      <c r="M1152" s="283"/>
      <c r="N1152" s="283"/>
      <c r="O1152" s="815"/>
      <c r="P1152" s="164"/>
      <c r="Q1152" s="730">
        <v>500</v>
      </c>
      <c r="R1152" s="730">
        <v>500</v>
      </c>
      <c r="S1152" s="894"/>
      <c r="T1152" s="933"/>
      <c r="U1152" s="933"/>
      <c r="X1152" s="16"/>
      <c r="Y1152" s="16"/>
    </row>
    <row r="1153" spans="1:25" s="42" customFormat="1" ht="15">
      <c r="A1153" s="740"/>
      <c r="B1153" s="1170" t="s">
        <v>4726</v>
      </c>
      <c r="C1153" s="164"/>
      <c r="D1153" s="444"/>
      <c r="E1153" s="647"/>
      <c r="H1153" s="283"/>
      <c r="I1153" s="283"/>
      <c r="K1153" s="283"/>
      <c r="L1153" s="283"/>
      <c r="M1153" s="283"/>
      <c r="N1153" s="283"/>
      <c r="O1153" s="815"/>
      <c r="P1153" s="164"/>
      <c r="Q1153" s="730">
        <v>25000</v>
      </c>
      <c r="R1153" s="730">
        <v>25000</v>
      </c>
      <c r="S1153" s="894"/>
      <c r="T1153" s="933"/>
      <c r="U1153" s="933"/>
      <c r="X1153" s="16"/>
      <c r="Y1153" s="16"/>
    </row>
    <row r="1154" spans="1:25" s="42" customFormat="1" ht="15">
      <c r="A1154" s="740"/>
      <c r="B1154" s="446" t="s">
        <v>1675</v>
      </c>
      <c r="C1154" s="164" t="s">
        <v>2371</v>
      </c>
      <c r="D1154" s="444">
        <v>40899</v>
      </c>
      <c r="E1154" s="647"/>
      <c r="F1154" s="42" t="s">
        <v>315</v>
      </c>
      <c r="H1154" s="283"/>
      <c r="I1154" s="283"/>
      <c r="K1154" s="283">
        <v>150000</v>
      </c>
      <c r="L1154" s="283"/>
      <c r="M1154" s="283">
        <f t="shared" si="98"/>
        <v>150000</v>
      </c>
      <c r="N1154" s="283"/>
      <c r="O1154" s="815"/>
      <c r="P1154" s="164" t="s">
        <v>104</v>
      </c>
      <c r="Q1154" s="351">
        <v>150000</v>
      </c>
      <c r="R1154" s="351">
        <v>150000</v>
      </c>
      <c r="S1154" s="933"/>
      <c r="T1154" s="933"/>
      <c r="U1154" s="933"/>
      <c r="W1154" s="42" t="s">
        <v>2002</v>
      </c>
      <c r="X1154" s="16">
        <f t="shared" si="97"/>
        <v>150000</v>
      </c>
      <c r="Y1154" s="16">
        <f>X1154-M1154</f>
        <v>0</v>
      </c>
    </row>
    <row r="1155" spans="1:25" s="42" customFormat="1" ht="15">
      <c r="A1155" s="740"/>
      <c r="B1155" s="446" t="s">
        <v>1628</v>
      </c>
      <c r="C1155" s="164" t="s">
        <v>2372</v>
      </c>
      <c r="D1155" s="444">
        <v>40899</v>
      </c>
      <c r="E1155" s="647"/>
      <c r="F1155" s="42" t="s">
        <v>315</v>
      </c>
      <c r="H1155" s="283"/>
      <c r="I1155" s="283"/>
      <c r="K1155" s="283">
        <v>50000</v>
      </c>
      <c r="L1155" s="283"/>
      <c r="M1155" s="283">
        <f t="shared" si="98"/>
        <v>50000</v>
      </c>
      <c r="N1155" s="283"/>
      <c r="O1155" s="815"/>
      <c r="P1155" s="164" t="s">
        <v>104</v>
      </c>
      <c r="Q1155" s="541">
        <f>SUM(Q1156:Q1187)</f>
        <v>50000</v>
      </c>
      <c r="R1155" s="541">
        <f>SUM(R1156:R1187)</f>
        <v>50000</v>
      </c>
      <c r="S1155" s="933"/>
      <c r="T1155" s="933"/>
      <c r="U1155" s="933"/>
      <c r="W1155" s="42" t="s">
        <v>2002</v>
      </c>
      <c r="X1155" s="16">
        <f t="shared" si="97"/>
        <v>50000</v>
      </c>
      <c r="Y1155" s="16">
        <f>X1155-M1155</f>
        <v>0</v>
      </c>
    </row>
    <row r="1156" spans="1:25" s="42" customFormat="1" ht="15">
      <c r="A1156" s="740"/>
      <c r="B1156" s="530" t="s">
        <v>2373</v>
      </c>
      <c r="C1156" s="164"/>
      <c r="D1156" s="444"/>
      <c r="E1156" s="329"/>
      <c r="H1156" s="283"/>
      <c r="I1156" s="283"/>
      <c r="K1156" s="283"/>
      <c r="L1156" s="283"/>
      <c r="M1156" s="283"/>
      <c r="N1156" s="283"/>
      <c r="O1156" s="815"/>
      <c r="P1156" s="164"/>
      <c r="Q1156" s="529">
        <v>700</v>
      </c>
      <c r="R1156" s="529">
        <v>700</v>
      </c>
      <c r="S1156" s="933"/>
      <c r="T1156" s="933"/>
      <c r="U1156" s="933"/>
      <c r="X1156" s="16"/>
      <c r="Y1156" s="16"/>
    </row>
    <row r="1157" spans="1:25" s="42" customFormat="1" ht="15">
      <c r="A1157" s="740"/>
      <c r="B1157" s="530" t="s">
        <v>2374</v>
      </c>
      <c r="C1157" s="164"/>
      <c r="D1157" s="444"/>
      <c r="E1157" s="329"/>
      <c r="H1157" s="283"/>
      <c r="I1157" s="283"/>
      <c r="K1157" s="283"/>
      <c r="L1157" s="283"/>
      <c r="M1157" s="283"/>
      <c r="N1157" s="283"/>
      <c r="O1157" s="815"/>
      <c r="P1157" s="164"/>
      <c r="Q1157" s="529">
        <v>700</v>
      </c>
      <c r="R1157" s="529">
        <v>700</v>
      </c>
      <c r="S1157" s="933"/>
      <c r="T1157" s="933"/>
      <c r="U1157" s="933"/>
      <c r="X1157" s="16"/>
      <c r="Y1157" s="16"/>
    </row>
    <row r="1158" spans="1:25" s="42" customFormat="1" ht="15">
      <c r="A1158" s="740"/>
      <c r="B1158" s="530" t="s">
        <v>2375</v>
      </c>
      <c r="C1158" s="164"/>
      <c r="D1158" s="444"/>
      <c r="E1158" s="329"/>
      <c r="H1158" s="283"/>
      <c r="I1158" s="283"/>
      <c r="K1158" s="283"/>
      <c r="L1158" s="283"/>
      <c r="M1158" s="283"/>
      <c r="N1158" s="283"/>
      <c r="O1158" s="815"/>
      <c r="P1158" s="164"/>
      <c r="Q1158" s="529">
        <v>900</v>
      </c>
      <c r="R1158" s="529">
        <v>900</v>
      </c>
      <c r="S1158" s="933"/>
      <c r="T1158" s="933"/>
      <c r="U1158" s="933"/>
      <c r="X1158" s="16"/>
      <c r="Y1158" s="16"/>
    </row>
    <row r="1159" spans="1:25" s="42" customFormat="1" ht="15">
      <c r="A1159" s="740"/>
      <c r="B1159" s="530" t="s">
        <v>2376</v>
      </c>
      <c r="C1159" s="164"/>
      <c r="D1159" s="444"/>
      <c r="E1159" s="329"/>
      <c r="H1159" s="283"/>
      <c r="I1159" s="283"/>
      <c r="K1159" s="283"/>
      <c r="L1159" s="283"/>
      <c r="M1159" s="283"/>
      <c r="N1159" s="283"/>
      <c r="O1159" s="815"/>
      <c r="P1159" s="164"/>
      <c r="Q1159" s="529">
        <v>400</v>
      </c>
      <c r="R1159" s="529">
        <v>400</v>
      </c>
      <c r="S1159" s="933"/>
      <c r="T1159" s="933"/>
      <c r="U1159" s="933"/>
      <c r="X1159" s="16"/>
      <c r="Y1159" s="16"/>
    </row>
    <row r="1160" spans="1:25" s="42" customFormat="1" ht="15">
      <c r="A1160" s="740"/>
      <c r="B1160" s="530" t="s">
        <v>2377</v>
      </c>
      <c r="C1160" s="164"/>
      <c r="D1160" s="444"/>
      <c r="E1160" s="329"/>
      <c r="H1160" s="283"/>
      <c r="I1160" s="283"/>
      <c r="K1160" s="283"/>
      <c r="L1160" s="283"/>
      <c r="M1160" s="283"/>
      <c r="N1160" s="283"/>
      <c r="O1160" s="815"/>
      <c r="P1160" s="164"/>
      <c r="Q1160" s="529">
        <v>500</v>
      </c>
      <c r="R1160" s="529">
        <v>500</v>
      </c>
      <c r="S1160" s="933"/>
      <c r="T1160" s="933"/>
      <c r="U1160" s="933"/>
      <c r="X1160" s="16"/>
      <c r="Y1160" s="16"/>
    </row>
    <row r="1161" spans="1:25" s="42" customFormat="1" ht="15">
      <c r="A1161" s="740"/>
      <c r="B1161" s="530" t="s">
        <v>2378</v>
      </c>
      <c r="C1161" s="164"/>
      <c r="D1161" s="444"/>
      <c r="E1161" s="329"/>
      <c r="H1161" s="283"/>
      <c r="I1161" s="283"/>
      <c r="K1161" s="283"/>
      <c r="L1161" s="283"/>
      <c r="M1161" s="283"/>
      <c r="N1161" s="283"/>
      <c r="O1161" s="815"/>
      <c r="P1161" s="164"/>
      <c r="Q1161" s="529">
        <v>700</v>
      </c>
      <c r="R1161" s="529">
        <v>700</v>
      </c>
      <c r="S1161" s="933"/>
      <c r="T1161" s="933"/>
      <c r="U1161" s="933"/>
      <c r="X1161" s="16"/>
      <c r="Y1161" s="16"/>
    </row>
    <row r="1162" spans="1:25" s="42" customFormat="1" ht="15">
      <c r="A1162" s="740"/>
      <c r="B1162" s="530" t="s">
        <v>2379</v>
      </c>
      <c r="C1162" s="164"/>
      <c r="D1162" s="444"/>
      <c r="E1162" s="329"/>
      <c r="H1162" s="283"/>
      <c r="I1162" s="283"/>
      <c r="K1162" s="283"/>
      <c r="L1162" s="283"/>
      <c r="M1162" s="283"/>
      <c r="N1162" s="283"/>
      <c r="O1162" s="815"/>
      <c r="P1162" s="164"/>
      <c r="Q1162" s="529">
        <v>400</v>
      </c>
      <c r="R1162" s="529">
        <v>400</v>
      </c>
      <c r="S1162" s="933"/>
      <c r="T1162" s="933"/>
      <c r="U1162" s="933"/>
      <c r="X1162" s="16"/>
      <c r="Y1162" s="16"/>
    </row>
    <row r="1163" spans="1:25" s="42" customFormat="1" ht="15">
      <c r="A1163" s="740"/>
      <c r="B1163" s="530" t="s">
        <v>2380</v>
      </c>
      <c r="C1163" s="164"/>
      <c r="D1163" s="444"/>
      <c r="E1163" s="329"/>
      <c r="H1163" s="283"/>
      <c r="I1163" s="283"/>
      <c r="K1163" s="283"/>
      <c r="L1163" s="283"/>
      <c r="M1163" s="283"/>
      <c r="N1163" s="283"/>
      <c r="O1163" s="815"/>
      <c r="P1163" s="164"/>
      <c r="Q1163" s="529">
        <v>600</v>
      </c>
      <c r="R1163" s="529">
        <v>600</v>
      </c>
      <c r="S1163" s="933"/>
      <c r="T1163" s="933"/>
      <c r="U1163" s="933"/>
      <c r="X1163" s="16"/>
      <c r="Y1163" s="16"/>
    </row>
    <row r="1164" spans="1:25" s="42" customFormat="1" ht="15">
      <c r="A1164" s="740"/>
      <c r="B1164" s="530" t="s">
        <v>2381</v>
      </c>
      <c r="C1164" s="164"/>
      <c r="D1164" s="444"/>
      <c r="E1164" s="329"/>
      <c r="H1164" s="283"/>
      <c r="I1164" s="283"/>
      <c r="K1164" s="283"/>
      <c r="L1164" s="283"/>
      <c r="M1164" s="283"/>
      <c r="N1164" s="283"/>
      <c r="O1164" s="815"/>
      <c r="P1164" s="164"/>
      <c r="Q1164" s="529">
        <v>600</v>
      </c>
      <c r="R1164" s="529">
        <v>600</v>
      </c>
      <c r="S1164" s="933"/>
      <c r="T1164" s="933"/>
      <c r="U1164" s="933"/>
      <c r="X1164" s="16"/>
      <c r="Y1164" s="16"/>
    </row>
    <row r="1165" spans="1:25" s="42" customFormat="1" ht="15">
      <c r="A1165" s="740"/>
      <c r="B1165" s="530" t="s">
        <v>2382</v>
      </c>
      <c r="C1165" s="164"/>
      <c r="D1165" s="444"/>
      <c r="E1165" s="329"/>
      <c r="H1165" s="283"/>
      <c r="I1165" s="283"/>
      <c r="K1165" s="283"/>
      <c r="L1165" s="283"/>
      <c r="M1165" s="283"/>
      <c r="N1165" s="283"/>
      <c r="O1165" s="815"/>
      <c r="P1165" s="164"/>
      <c r="Q1165" s="529">
        <v>500</v>
      </c>
      <c r="R1165" s="529">
        <v>500</v>
      </c>
      <c r="S1165" s="933"/>
      <c r="T1165" s="933"/>
      <c r="U1165" s="933"/>
      <c r="X1165" s="16"/>
      <c r="Y1165" s="16"/>
    </row>
    <row r="1166" spans="1:25" s="42" customFormat="1" ht="15">
      <c r="A1166" s="740"/>
      <c r="B1166" s="530" t="s">
        <v>2383</v>
      </c>
      <c r="C1166" s="164"/>
      <c r="D1166" s="444"/>
      <c r="E1166" s="329"/>
      <c r="H1166" s="283"/>
      <c r="I1166" s="283"/>
      <c r="K1166" s="283"/>
      <c r="L1166" s="283"/>
      <c r="M1166" s="283"/>
      <c r="N1166" s="283"/>
      <c r="O1166" s="815"/>
      <c r="P1166" s="164"/>
      <c r="Q1166" s="529">
        <v>400</v>
      </c>
      <c r="R1166" s="529">
        <v>400</v>
      </c>
      <c r="S1166" s="933"/>
      <c r="T1166" s="933"/>
      <c r="U1166" s="933"/>
      <c r="X1166" s="16"/>
      <c r="Y1166" s="16"/>
    </row>
    <row r="1167" spans="1:25" s="42" customFormat="1" ht="15">
      <c r="A1167" s="740"/>
      <c r="B1167" s="530" t="s">
        <v>2384</v>
      </c>
      <c r="C1167" s="164"/>
      <c r="D1167" s="444"/>
      <c r="E1167" s="329"/>
      <c r="H1167" s="283"/>
      <c r="I1167" s="283"/>
      <c r="K1167" s="283"/>
      <c r="L1167" s="283"/>
      <c r="M1167" s="283"/>
      <c r="N1167" s="283"/>
      <c r="O1167" s="815"/>
      <c r="P1167" s="164"/>
      <c r="Q1167" s="529">
        <v>400</v>
      </c>
      <c r="R1167" s="529">
        <v>400</v>
      </c>
      <c r="S1167" s="933"/>
      <c r="T1167" s="933"/>
      <c r="U1167" s="933"/>
      <c r="X1167" s="16"/>
      <c r="Y1167" s="16"/>
    </row>
    <row r="1168" spans="1:25" s="42" customFormat="1" ht="15">
      <c r="A1168" s="740"/>
      <c r="B1168" s="530" t="s">
        <v>2385</v>
      </c>
      <c r="C1168" s="164"/>
      <c r="D1168" s="444"/>
      <c r="E1168" s="329"/>
      <c r="H1168" s="283"/>
      <c r="I1168" s="283"/>
      <c r="K1168" s="283"/>
      <c r="L1168" s="283"/>
      <c r="M1168" s="283"/>
      <c r="N1168" s="283"/>
      <c r="O1168" s="815"/>
      <c r="P1168" s="164"/>
      <c r="Q1168" s="529">
        <v>400</v>
      </c>
      <c r="R1168" s="529">
        <v>400</v>
      </c>
      <c r="S1168" s="933"/>
      <c r="T1168" s="933"/>
      <c r="U1168" s="933"/>
      <c r="X1168" s="16"/>
      <c r="Y1168" s="16"/>
    </row>
    <row r="1169" spans="1:25" s="42" customFormat="1" ht="15">
      <c r="A1169" s="740"/>
      <c r="B1169" s="530" t="s">
        <v>2386</v>
      </c>
      <c r="C1169" s="164"/>
      <c r="D1169" s="444"/>
      <c r="E1169" s="329"/>
      <c r="H1169" s="283"/>
      <c r="I1169" s="283"/>
      <c r="K1169" s="283"/>
      <c r="L1169" s="283"/>
      <c r="M1169" s="283"/>
      <c r="N1169" s="283"/>
      <c r="O1169" s="815"/>
      <c r="P1169" s="164"/>
      <c r="Q1169" s="529">
        <v>800</v>
      </c>
      <c r="R1169" s="529">
        <v>800</v>
      </c>
      <c r="S1169" s="933"/>
      <c r="T1169" s="933"/>
      <c r="U1169" s="933"/>
      <c r="X1169" s="16"/>
      <c r="Y1169" s="16"/>
    </row>
    <row r="1170" spans="1:25" s="42" customFormat="1" ht="15">
      <c r="A1170" s="740"/>
      <c r="B1170" s="530" t="s">
        <v>2387</v>
      </c>
      <c r="C1170" s="164"/>
      <c r="D1170" s="444"/>
      <c r="E1170" s="329"/>
      <c r="H1170" s="283"/>
      <c r="I1170" s="283"/>
      <c r="K1170" s="283"/>
      <c r="L1170" s="283"/>
      <c r="M1170" s="283"/>
      <c r="N1170" s="283"/>
      <c r="O1170" s="815"/>
      <c r="P1170" s="164"/>
      <c r="Q1170" s="529">
        <v>700</v>
      </c>
      <c r="R1170" s="529">
        <v>700</v>
      </c>
      <c r="S1170" s="933"/>
      <c r="T1170" s="933"/>
      <c r="U1170" s="933"/>
      <c r="X1170" s="16"/>
      <c r="Y1170" s="16"/>
    </row>
    <row r="1171" spans="1:25" s="42" customFormat="1" ht="15">
      <c r="A1171" s="740"/>
      <c r="B1171" s="530" t="s">
        <v>1631</v>
      </c>
      <c r="C1171" s="164"/>
      <c r="D1171" s="444"/>
      <c r="E1171" s="329"/>
      <c r="H1171" s="283"/>
      <c r="I1171" s="283"/>
      <c r="K1171" s="283"/>
      <c r="L1171" s="283"/>
      <c r="M1171" s="283"/>
      <c r="N1171" s="283"/>
      <c r="O1171" s="815"/>
      <c r="P1171" s="164"/>
      <c r="Q1171" s="529">
        <v>1000</v>
      </c>
      <c r="R1171" s="529">
        <v>1000</v>
      </c>
      <c r="S1171" s="933"/>
      <c r="T1171" s="933"/>
      <c r="U1171" s="933"/>
      <c r="X1171" s="16"/>
      <c r="Y1171" s="16"/>
    </row>
    <row r="1172" spans="1:25" s="42" customFormat="1" ht="15">
      <c r="A1172" s="740"/>
      <c r="B1172" s="530" t="s">
        <v>2388</v>
      </c>
      <c r="C1172" s="164"/>
      <c r="D1172" s="444"/>
      <c r="E1172" s="329"/>
      <c r="H1172" s="283"/>
      <c r="I1172" s="283"/>
      <c r="K1172" s="283"/>
      <c r="L1172" s="283"/>
      <c r="M1172" s="283"/>
      <c r="N1172" s="283"/>
      <c r="O1172" s="815"/>
      <c r="P1172" s="164"/>
      <c r="Q1172" s="529">
        <v>800</v>
      </c>
      <c r="R1172" s="529">
        <v>800</v>
      </c>
      <c r="S1172" s="933"/>
      <c r="T1172" s="933"/>
      <c r="U1172" s="933"/>
      <c r="X1172" s="16"/>
      <c r="Y1172" s="16"/>
    </row>
    <row r="1173" spans="1:25" s="42" customFormat="1" ht="15">
      <c r="A1173" s="740"/>
      <c r="B1173" s="530" t="s">
        <v>1760</v>
      </c>
      <c r="C1173" s="164"/>
      <c r="D1173" s="444"/>
      <c r="E1173" s="329"/>
      <c r="H1173" s="283"/>
      <c r="I1173" s="283"/>
      <c r="K1173" s="283"/>
      <c r="L1173" s="283"/>
      <c r="M1173" s="283"/>
      <c r="N1173" s="283"/>
      <c r="O1173" s="815"/>
      <c r="P1173" s="164"/>
      <c r="Q1173" s="529">
        <v>25000</v>
      </c>
      <c r="R1173" s="529">
        <v>25000</v>
      </c>
      <c r="S1173" s="933"/>
      <c r="T1173" s="933"/>
      <c r="U1173" s="933"/>
      <c r="X1173" s="16"/>
      <c r="Y1173" s="16"/>
    </row>
    <row r="1174" spans="1:25" s="42" customFormat="1" ht="15">
      <c r="A1174" s="740"/>
      <c r="B1174" s="530" t="s">
        <v>2389</v>
      </c>
      <c r="C1174" s="164"/>
      <c r="D1174" s="444"/>
      <c r="E1174" s="329"/>
      <c r="H1174" s="283"/>
      <c r="I1174" s="283"/>
      <c r="K1174" s="283"/>
      <c r="L1174" s="283"/>
      <c r="M1174" s="283"/>
      <c r="N1174" s="283"/>
      <c r="O1174" s="815"/>
      <c r="P1174" s="164"/>
      <c r="Q1174" s="529">
        <v>1000</v>
      </c>
      <c r="R1174" s="529">
        <v>1000</v>
      </c>
      <c r="S1174" s="933"/>
      <c r="T1174" s="933"/>
      <c r="U1174" s="933"/>
      <c r="X1174" s="16"/>
      <c r="Y1174" s="16"/>
    </row>
    <row r="1175" spans="1:25" s="42" customFormat="1" ht="15">
      <c r="A1175" s="740"/>
      <c r="B1175" s="530" t="s">
        <v>2390</v>
      </c>
      <c r="C1175" s="164"/>
      <c r="D1175" s="444"/>
      <c r="E1175" s="329"/>
      <c r="H1175" s="283"/>
      <c r="I1175" s="283"/>
      <c r="K1175" s="283"/>
      <c r="L1175" s="283"/>
      <c r="M1175" s="283"/>
      <c r="N1175" s="283"/>
      <c r="O1175" s="815"/>
      <c r="P1175" s="164"/>
      <c r="Q1175" s="529">
        <v>1000</v>
      </c>
      <c r="R1175" s="529">
        <v>1000</v>
      </c>
      <c r="S1175" s="933"/>
      <c r="T1175" s="933"/>
      <c r="U1175" s="933"/>
      <c r="X1175" s="16"/>
      <c r="Y1175" s="16"/>
    </row>
    <row r="1176" spans="1:25" s="42" customFormat="1" ht="15">
      <c r="A1176" s="740"/>
      <c r="B1176" s="530" t="s">
        <v>2391</v>
      </c>
      <c r="C1176" s="164"/>
      <c r="D1176" s="444"/>
      <c r="E1176" s="329"/>
      <c r="H1176" s="283"/>
      <c r="I1176" s="283"/>
      <c r="K1176" s="283"/>
      <c r="L1176" s="283"/>
      <c r="M1176" s="283"/>
      <c r="N1176" s="283"/>
      <c r="O1176" s="815"/>
      <c r="P1176" s="164"/>
      <c r="Q1176" s="529">
        <v>1000</v>
      </c>
      <c r="R1176" s="529">
        <v>1000</v>
      </c>
      <c r="S1176" s="933"/>
      <c r="T1176" s="933"/>
      <c r="U1176" s="933"/>
      <c r="X1176" s="16"/>
      <c r="Y1176" s="16"/>
    </row>
    <row r="1177" spans="1:25" s="42" customFormat="1" ht="15">
      <c r="A1177" s="740"/>
      <c r="B1177" s="530" t="s">
        <v>2392</v>
      </c>
      <c r="C1177" s="164"/>
      <c r="D1177" s="444"/>
      <c r="E1177" s="329"/>
      <c r="H1177" s="283"/>
      <c r="I1177" s="283"/>
      <c r="K1177" s="283"/>
      <c r="L1177" s="283"/>
      <c r="M1177" s="283"/>
      <c r="N1177" s="283"/>
      <c r="O1177" s="815"/>
      <c r="P1177" s="164"/>
      <c r="Q1177" s="529">
        <v>600</v>
      </c>
      <c r="R1177" s="529">
        <v>600</v>
      </c>
      <c r="S1177" s="933"/>
      <c r="T1177" s="933"/>
      <c r="U1177" s="933"/>
      <c r="X1177" s="16"/>
      <c r="Y1177" s="16"/>
    </row>
    <row r="1178" spans="1:25" s="42" customFormat="1" ht="15">
      <c r="A1178" s="740"/>
      <c r="B1178" s="530" t="s">
        <v>2393</v>
      </c>
      <c r="C1178" s="164"/>
      <c r="D1178" s="444"/>
      <c r="E1178" s="329"/>
      <c r="H1178" s="283"/>
      <c r="I1178" s="283"/>
      <c r="K1178" s="283"/>
      <c r="L1178" s="283"/>
      <c r="M1178" s="283"/>
      <c r="N1178" s="283"/>
      <c r="O1178" s="815"/>
      <c r="P1178" s="164"/>
      <c r="Q1178" s="529">
        <v>700</v>
      </c>
      <c r="R1178" s="529">
        <v>700</v>
      </c>
      <c r="S1178" s="933"/>
      <c r="T1178" s="933"/>
      <c r="U1178" s="933"/>
      <c r="X1178" s="16"/>
      <c r="Y1178" s="16"/>
    </row>
    <row r="1179" spans="1:25" s="42" customFormat="1" ht="15">
      <c r="A1179" s="740"/>
      <c r="B1179" s="530" t="s">
        <v>2394</v>
      </c>
      <c r="C1179" s="164"/>
      <c r="D1179" s="444"/>
      <c r="E1179" s="329"/>
      <c r="H1179" s="283"/>
      <c r="I1179" s="283"/>
      <c r="K1179" s="283"/>
      <c r="L1179" s="283"/>
      <c r="M1179" s="283"/>
      <c r="N1179" s="283"/>
      <c r="O1179" s="815"/>
      <c r="P1179" s="164"/>
      <c r="Q1179" s="529">
        <v>5000</v>
      </c>
      <c r="R1179" s="529">
        <v>5000</v>
      </c>
      <c r="S1179" s="933"/>
      <c r="T1179" s="933"/>
      <c r="U1179" s="933"/>
      <c r="X1179" s="16"/>
      <c r="Y1179" s="16"/>
    </row>
    <row r="1180" spans="1:25" s="42" customFormat="1" ht="45">
      <c r="A1180" s="740"/>
      <c r="B1180" s="530" t="s">
        <v>2395</v>
      </c>
      <c r="C1180" s="164"/>
      <c r="D1180" s="444"/>
      <c r="E1180" s="329"/>
      <c r="H1180" s="283"/>
      <c r="I1180" s="283"/>
      <c r="K1180" s="283"/>
      <c r="L1180" s="283"/>
      <c r="M1180" s="283"/>
      <c r="N1180" s="283"/>
      <c r="O1180" s="815"/>
      <c r="P1180" s="164"/>
      <c r="Q1180" s="529">
        <v>800</v>
      </c>
      <c r="R1180" s="529">
        <v>800</v>
      </c>
      <c r="S1180" s="933" t="s">
        <v>6226</v>
      </c>
      <c r="T1180" s="933"/>
      <c r="U1180" s="933"/>
      <c r="X1180" s="16"/>
      <c r="Y1180" s="16"/>
    </row>
    <row r="1181" spans="1:25" s="42" customFormat="1" ht="15">
      <c r="A1181" s="740"/>
      <c r="B1181" s="530" t="s">
        <v>2396</v>
      </c>
      <c r="C1181" s="164"/>
      <c r="D1181" s="444"/>
      <c r="E1181" s="329"/>
      <c r="H1181" s="283"/>
      <c r="I1181" s="283"/>
      <c r="K1181" s="283"/>
      <c r="L1181" s="283"/>
      <c r="M1181" s="283"/>
      <c r="N1181" s="283"/>
      <c r="O1181" s="815"/>
      <c r="P1181" s="164"/>
      <c r="Q1181" s="529">
        <v>700</v>
      </c>
      <c r="R1181" s="529">
        <v>700</v>
      </c>
      <c r="S1181" s="933"/>
      <c r="T1181" s="933"/>
      <c r="U1181" s="933"/>
      <c r="X1181" s="16"/>
      <c r="Y1181" s="16"/>
    </row>
    <row r="1182" spans="1:25" s="42" customFormat="1" ht="15">
      <c r="A1182" s="740"/>
      <c r="B1182" s="530" t="s">
        <v>2397</v>
      </c>
      <c r="C1182" s="164"/>
      <c r="D1182" s="444"/>
      <c r="E1182" s="329"/>
      <c r="H1182" s="283"/>
      <c r="I1182" s="283"/>
      <c r="K1182" s="283"/>
      <c r="L1182" s="283"/>
      <c r="M1182" s="283"/>
      <c r="N1182" s="283"/>
      <c r="O1182" s="815"/>
      <c r="P1182" s="164"/>
      <c r="Q1182" s="529">
        <v>1000</v>
      </c>
      <c r="R1182" s="529">
        <v>1000</v>
      </c>
      <c r="S1182" s="933"/>
      <c r="T1182" s="933"/>
      <c r="U1182" s="933"/>
      <c r="X1182" s="16"/>
      <c r="Y1182" s="16"/>
    </row>
    <row r="1183" spans="1:25" s="42" customFormat="1" ht="15">
      <c r="A1183" s="740"/>
      <c r="B1183" s="530" t="s">
        <v>2398</v>
      </c>
      <c r="C1183" s="164"/>
      <c r="D1183" s="444"/>
      <c r="E1183" s="329"/>
      <c r="H1183" s="283"/>
      <c r="I1183" s="283"/>
      <c r="K1183" s="283"/>
      <c r="L1183" s="283"/>
      <c r="M1183" s="283"/>
      <c r="N1183" s="283"/>
      <c r="O1183" s="815"/>
      <c r="P1183" s="164"/>
      <c r="Q1183" s="529">
        <v>500</v>
      </c>
      <c r="R1183" s="529">
        <v>500</v>
      </c>
      <c r="S1183" s="933"/>
      <c r="T1183" s="933"/>
      <c r="U1183" s="933"/>
      <c r="X1183" s="16"/>
      <c r="Y1183" s="16"/>
    </row>
    <row r="1184" spans="1:25" s="42" customFormat="1" ht="15">
      <c r="A1184" s="740"/>
      <c r="B1184" s="530" t="s">
        <v>2399</v>
      </c>
      <c r="C1184" s="164"/>
      <c r="D1184" s="444"/>
      <c r="E1184" s="329"/>
      <c r="H1184" s="283"/>
      <c r="I1184" s="283"/>
      <c r="K1184" s="283"/>
      <c r="L1184" s="283"/>
      <c r="M1184" s="283"/>
      <c r="N1184" s="283"/>
      <c r="O1184" s="815"/>
      <c r="P1184" s="164"/>
      <c r="Q1184" s="529">
        <v>500</v>
      </c>
      <c r="R1184" s="529">
        <v>500</v>
      </c>
      <c r="S1184" s="933"/>
      <c r="T1184" s="933"/>
      <c r="U1184" s="933"/>
      <c r="X1184" s="16"/>
      <c r="Y1184" s="16"/>
    </row>
    <row r="1185" spans="1:25" s="42" customFormat="1" ht="15">
      <c r="A1185" s="740"/>
      <c r="B1185" s="530" t="s">
        <v>2400</v>
      </c>
      <c r="C1185" s="164"/>
      <c r="D1185" s="444"/>
      <c r="E1185" s="329"/>
      <c r="H1185" s="283"/>
      <c r="I1185" s="283"/>
      <c r="K1185" s="283"/>
      <c r="L1185" s="283"/>
      <c r="M1185" s="283"/>
      <c r="N1185" s="283"/>
      <c r="O1185" s="815"/>
      <c r="P1185" s="164"/>
      <c r="Q1185" s="529">
        <v>500</v>
      </c>
      <c r="R1185" s="529">
        <v>500</v>
      </c>
      <c r="S1185" s="933"/>
      <c r="T1185" s="933"/>
      <c r="U1185" s="933"/>
      <c r="X1185" s="16"/>
      <c r="Y1185" s="16"/>
    </row>
    <row r="1186" spans="1:25" s="42" customFormat="1" ht="15">
      <c r="A1186" s="740"/>
      <c r="B1186" s="530" t="s">
        <v>2401</v>
      </c>
      <c r="C1186" s="164"/>
      <c r="D1186" s="444"/>
      <c r="E1186" s="329"/>
      <c r="H1186" s="283"/>
      <c r="I1186" s="283"/>
      <c r="K1186" s="283"/>
      <c r="L1186" s="283"/>
      <c r="M1186" s="283"/>
      <c r="N1186" s="283"/>
      <c r="O1186" s="815"/>
      <c r="P1186" s="164"/>
      <c r="Q1186" s="529">
        <v>500</v>
      </c>
      <c r="R1186" s="529">
        <v>500</v>
      </c>
      <c r="S1186" s="933"/>
      <c r="T1186" s="933"/>
      <c r="U1186" s="933"/>
      <c r="X1186" s="16"/>
      <c r="Y1186" s="16"/>
    </row>
    <row r="1187" spans="1:25" s="42" customFormat="1" ht="15">
      <c r="A1187" s="740"/>
      <c r="B1187" s="530" t="s">
        <v>2402</v>
      </c>
      <c r="C1187" s="164"/>
      <c r="D1187" s="444"/>
      <c r="E1187" s="329"/>
      <c r="H1187" s="283"/>
      <c r="I1187" s="283"/>
      <c r="K1187" s="283"/>
      <c r="L1187" s="283"/>
      <c r="M1187" s="283"/>
      <c r="N1187" s="283"/>
      <c r="O1187" s="815"/>
      <c r="P1187" s="164"/>
      <c r="Q1187" s="529">
        <v>700</v>
      </c>
      <c r="R1187" s="529">
        <v>700</v>
      </c>
      <c r="S1187" s="933"/>
      <c r="T1187" s="933"/>
      <c r="U1187" s="933"/>
      <c r="X1187" s="16"/>
      <c r="Y1187" s="16"/>
    </row>
    <row r="1188" spans="1:25" s="42" customFormat="1" ht="15">
      <c r="A1188" s="740"/>
      <c r="B1188" s="446"/>
      <c r="C1188" s="164"/>
      <c r="D1188" s="444"/>
      <c r="E1188" s="647"/>
      <c r="H1188" s="283"/>
      <c r="I1188" s="283"/>
      <c r="K1188" s="283"/>
      <c r="L1188" s="283"/>
      <c r="M1188" s="283"/>
      <c r="N1188" s="283"/>
      <c r="O1188" s="815"/>
      <c r="P1188" s="164"/>
      <c r="Q1188" s="351"/>
      <c r="R1188" s="351"/>
      <c r="S1188" s="933"/>
      <c r="T1188" s="933"/>
      <c r="U1188" s="933"/>
      <c r="X1188" s="16"/>
      <c r="Y1188" s="16"/>
    </row>
    <row r="1189" spans="1:25" s="42" customFormat="1" ht="15">
      <c r="A1189" s="740"/>
      <c r="B1189" s="446" t="s">
        <v>1672</v>
      </c>
      <c r="C1189" s="164" t="s">
        <v>2403</v>
      </c>
      <c r="D1189" s="444">
        <v>40899</v>
      </c>
      <c r="E1189" s="647"/>
      <c r="F1189" s="42" t="s">
        <v>315</v>
      </c>
      <c r="H1189" s="283"/>
      <c r="I1189" s="283"/>
      <c r="K1189" s="283">
        <v>8600</v>
      </c>
      <c r="L1189" s="283"/>
      <c r="M1189" s="283">
        <f t="shared" si="98"/>
        <v>8600</v>
      </c>
      <c r="N1189" s="283"/>
      <c r="O1189" s="815"/>
      <c r="P1189" s="164" t="s">
        <v>104</v>
      </c>
      <c r="Q1189" s="541">
        <f>SUM(Q1190:Q1199)</f>
        <v>8600</v>
      </c>
      <c r="R1189" s="541">
        <f>SUM(R1190:R1199)</f>
        <v>8600</v>
      </c>
      <c r="S1189" s="933"/>
      <c r="T1189" s="933"/>
      <c r="U1189" s="933"/>
      <c r="W1189" s="42" t="s">
        <v>2002</v>
      </c>
      <c r="X1189" s="16">
        <f t="shared" si="97"/>
        <v>8600</v>
      </c>
      <c r="Y1189" s="16">
        <f>X1189-M1189</f>
        <v>0</v>
      </c>
    </row>
    <row r="1190" spans="1:25" s="42" customFormat="1" ht="66.75" customHeight="1">
      <c r="A1190" s="740"/>
      <c r="B1190" s="918" t="s">
        <v>2404</v>
      </c>
      <c r="C1190" s="164"/>
      <c r="D1190" s="444"/>
      <c r="E1190" s="784"/>
      <c r="H1190" s="283"/>
      <c r="I1190" s="283"/>
      <c r="K1190" s="283"/>
      <c r="L1190" s="283"/>
      <c r="M1190" s="283"/>
      <c r="N1190" s="283"/>
      <c r="O1190" s="815"/>
      <c r="P1190" s="164"/>
      <c r="Q1190" s="529">
        <v>800</v>
      </c>
      <c r="R1190" s="529">
        <v>800</v>
      </c>
      <c r="S1190" s="1386" t="s">
        <v>4646</v>
      </c>
      <c r="T1190" s="1386"/>
      <c r="U1190" s="1386"/>
      <c r="X1190" s="16"/>
      <c r="Y1190" s="16"/>
    </row>
    <row r="1191" spans="1:25" s="42" customFormat="1" ht="66.75" customHeight="1">
      <c r="A1191" s="740"/>
      <c r="B1191" s="918" t="s">
        <v>2405</v>
      </c>
      <c r="C1191" s="164"/>
      <c r="D1191" s="444"/>
      <c r="E1191" s="784"/>
      <c r="H1191" s="283"/>
      <c r="I1191" s="283"/>
      <c r="K1191" s="283"/>
      <c r="L1191" s="283"/>
      <c r="M1191" s="283"/>
      <c r="N1191" s="283"/>
      <c r="O1191" s="815"/>
      <c r="P1191" s="164"/>
      <c r="Q1191" s="529">
        <v>1000</v>
      </c>
      <c r="R1191" s="529">
        <v>1000</v>
      </c>
      <c r="S1191" s="1386" t="s">
        <v>4646</v>
      </c>
      <c r="T1191" s="1386"/>
      <c r="U1191" s="1386"/>
      <c r="X1191" s="16"/>
      <c r="Y1191" s="16"/>
    </row>
    <row r="1192" spans="1:25" s="42" customFormat="1" ht="66.75" customHeight="1">
      <c r="A1192" s="740"/>
      <c r="B1192" s="918" t="s">
        <v>2406</v>
      </c>
      <c r="C1192" s="164"/>
      <c r="D1192" s="444"/>
      <c r="E1192" s="784"/>
      <c r="H1192" s="283"/>
      <c r="I1192" s="283"/>
      <c r="K1192" s="283"/>
      <c r="L1192" s="283"/>
      <c r="M1192" s="283"/>
      <c r="N1192" s="283"/>
      <c r="O1192" s="815"/>
      <c r="P1192" s="164"/>
      <c r="Q1192" s="529">
        <v>900</v>
      </c>
      <c r="R1192" s="529">
        <v>900</v>
      </c>
      <c r="S1192" s="1386" t="s">
        <v>4646</v>
      </c>
      <c r="T1192" s="1386"/>
      <c r="U1192" s="1386"/>
      <c r="X1192" s="16"/>
      <c r="Y1192" s="16"/>
    </row>
    <row r="1193" spans="1:25" s="42" customFormat="1" ht="66.75" customHeight="1">
      <c r="A1193" s="740"/>
      <c r="B1193" s="918" t="s">
        <v>2407</v>
      </c>
      <c r="C1193" s="164"/>
      <c r="D1193" s="444"/>
      <c r="E1193" s="784"/>
      <c r="H1193" s="283"/>
      <c r="I1193" s="283"/>
      <c r="K1193" s="283"/>
      <c r="L1193" s="283"/>
      <c r="M1193" s="283"/>
      <c r="N1193" s="283"/>
      <c r="O1193" s="815"/>
      <c r="P1193" s="164"/>
      <c r="Q1193" s="529">
        <v>1000</v>
      </c>
      <c r="R1193" s="529">
        <v>1000</v>
      </c>
      <c r="S1193" s="1386" t="s">
        <v>4646</v>
      </c>
      <c r="T1193" s="1386"/>
      <c r="U1193" s="1386"/>
      <c r="X1193" s="16"/>
      <c r="Y1193" s="16"/>
    </row>
    <row r="1194" spans="1:25" s="42" customFormat="1" ht="66.75" customHeight="1">
      <c r="A1194" s="740"/>
      <c r="B1194" s="918" t="s">
        <v>2408</v>
      </c>
      <c r="C1194" s="164"/>
      <c r="D1194" s="444"/>
      <c r="E1194" s="784"/>
      <c r="H1194" s="283"/>
      <c r="I1194" s="283"/>
      <c r="K1194" s="283"/>
      <c r="L1194" s="283"/>
      <c r="M1194" s="283"/>
      <c r="N1194" s="283"/>
      <c r="O1194" s="815"/>
      <c r="P1194" s="164"/>
      <c r="Q1194" s="529">
        <v>900</v>
      </c>
      <c r="R1194" s="529">
        <v>900</v>
      </c>
      <c r="S1194" s="1386" t="s">
        <v>4646</v>
      </c>
      <c r="T1194" s="1386"/>
      <c r="U1194" s="1386"/>
      <c r="X1194" s="16"/>
      <c r="Y1194" s="16"/>
    </row>
    <row r="1195" spans="1:25" s="42" customFormat="1" ht="66.75" customHeight="1">
      <c r="A1195" s="740"/>
      <c r="B1195" s="918" t="s">
        <v>2409</v>
      </c>
      <c r="C1195" s="164"/>
      <c r="D1195" s="444"/>
      <c r="E1195" s="784"/>
      <c r="H1195" s="283"/>
      <c r="I1195" s="283"/>
      <c r="K1195" s="283"/>
      <c r="L1195" s="283"/>
      <c r="M1195" s="283"/>
      <c r="N1195" s="283"/>
      <c r="O1195" s="815"/>
      <c r="P1195" s="164"/>
      <c r="Q1195" s="529">
        <v>1000</v>
      </c>
      <c r="R1195" s="529">
        <v>1000</v>
      </c>
      <c r="S1195" s="1386" t="s">
        <v>4646</v>
      </c>
      <c r="T1195" s="1386"/>
      <c r="U1195" s="1386"/>
      <c r="X1195" s="16"/>
      <c r="Y1195" s="16"/>
    </row>
    <row r="1196" spans="1:25" s="42" customFormat="1" ht="66.75" customHeight="1">
      <c r="A1196" s="740"/>
      <c r="B1196" s="918" t="s">
        <v>2410</v>
      </c>
      <c r="C1196" s="164"/>
      <c r="D1196" s="444"/>
      <c r="E1196" s="784"/>
      <c r="H1196" s="283"/>
      <c r="I1196" s="283"/>
      <c r="K1196" s="283"/>
      <c r="L1196" s="283"/>
      <c r="M1196" s="283"/>
      <c r="N1196" s="283"/>
      <c r="O1196" s="815"/>
      <c r="P1196" s="164"/>
      <c r="Q1196" s="529">
        <v>1000</v>
      </c>
      <c r="R1196" s="529">
        <v>1000</v>
      </c>
      <c r="S1196" s="1386" t="s">
        <v>4646</v>
      </c>
      <c r="T1196" s="1386"/>
      <c r="U1196" s="1386"/>
      <c r="X1196" s="16"/>
      <c r="Y1196" s="16"/>
    </row>
    <row r="1197" spans="1:25" s="42" customFormat="1" ht="66.75" customHeight="1">
      <c r="A1197" s="740"/>
      <c r="B1197" s="918" t="s">
        <v>2411</v>
      </c>
      <c r="C1197" s="164"/>
      <c r="D1197" s="444"/>
      <c r="E1197" s="784"/>
      <c r="H1197" s="283"/>
      <c r="I1197" s="283"/>
      <c r="K1197" s="283"/>
      <c r="L1197" s="283"/>
      <c r="M1197" s="283"/>
      <c r="N1197" s="283"/>
      <c r="O1197" s="815"/>
      <c r="P1197" s="164"/>
      <c r="Q1197" s="529">
        <v>800</v>
      </c>
      <c r="R1197" s="529">
        <v>800</v>
      </c>
      <c r="S1197" s="1386" t="s">
        <v>4646</v>
      </c>
      <c r="T1197" s="1386"/>
      <c r="U1197" s="1386"/>
      <c r="X1197" s="16"/>
      <c r="Y1197" s="16"/>
    </row>
    <row r="1198" spans="1:25" s="42" customFormat="1" ht="66.75" customHeight="1">
      <c r="A1198" s="740"/>
      <c r="B1198" s="918" t="s">
        <v>2412</v>
      </c>
      <c r="C1198" s="164"/>
      <c r="D1198" s="444"/>
      <c r="E1198" s="784"/>
      <c r="H1198" s="283"/>
      <c r="I1198" s="283"/>
      <c r="K1198" s="283"/>
      <c r="L1198" s="283"/>
      <c r="M1198" s="283"/>
      <c r="N1198" s="283"/>
      <c r="O1198" s="815"/>
      <c r="P1198" s="164"/>
      <c r="Q1198" s="529">
        <v>700</v>
      </c>
      <c r="R1198" s="529">
        <v>700</v>
      </c>
      <c r="S1198" s="1386" t="s">
        <v>4646</v>
      </c>
      <c r="T1198" s="1386"/>
      <c r="U1198" s="1386"/>
      <c r="X1198" s="16"/>
      <c r="Y1198" s="16"/>
    </row>
    <row r="1199" spans="1:25" s="42" customFormat="1" ht="66.75" customHeight="1">
      <c r="A1199" s="740"/>
      <c r="B1199" s="918" t="s">
        <v>2413</v>
      </c>
      <c r="C1199" s="164"/>
      <c r="D1199" s="444"/>
      <c r="E1199" s="784"/>
      <c r="H1199" s="283"/>
      <c r="I1199" s="283"/>
      <c r="K1199" s="283"/>
      <c r="L1199" s="283"/>
      <c r="M1199" s="283"/>
      <c r="N1199" s="283"/>
      <c r="O1199" s="815"/>
      <c r="P1199" s="164"/>
      <c r="Q1199" s="529">
        <v>500</v>
      </c>
      <c r="R1199" s="529">
        <v>500</v>
      </c>
      <c r="S1199" s="1386" t="s">
        <v>4646</v>
      </c>
      <c r="T1199" s="1386"/>
      <c r="U1199" s="1386"/>
      <c r="X1199" s="16"/>
      <c r="Y1199" s="16"/>
    </row>
    <row r="1200" spans="1:25" s="42" customFormat="1" ht="15">
      <c r="A1200" s="740"/>
      <c r="B1200" s="446"/>
      <c r="C1200" s="164"/>
      <c r="D1200" s="444"/>
      <c r="E1200" s="647"/>
      <c r="H1200" s="283"/>
      <c r="I1200" s="283"/>
      <c r="K1200" s="283"/>
      <c r="L1200" s="283"/>
      <c r="M1200" s="283"/>
      <c r="N1200" s="283"/>
      <c r="O1200" s="815"/>
      <c r="P1200" s="164"/>
      <c r="Q1200" s="351"/>
      <c r="R1200" s="351"/>
      <c r="S1200" s="933"/>
      <c r="T1200" s="933"/>
      <c r="U1200" s="933"/>
      <c r="X1200" s="16"/>
      <c r="Y1200" s="16"/>
    </row>
    <row r="1201" spans="1:25" s="42" customFormat="1" ht="15">
      <c r="A1201" s="740"/>
      <c r="B1201" s="446" t="s">
        <v>1678</v>
      </c>
      <c r="C1201" s="164" t="s">
        <v>2414</v>
      </c>
      <c r="D1201" s="444">
        <v>40899</v>
      </c>
      <c r="E1201" s="647"/>
      <c r="F1201" s="42" t="s">
        <v>315</v>
      </c>
      <c r="H1201" s="283"/>
      <c r="I1201" s="283"/>
      <c r="K1201" s="283"/>
      <c r="L1201" s="283"/>
      <c r="M1201" s="283">
        <f t="shared" si="98"/>
        <v>0</v>
      </c>
      <c r="N1201" s="283"/>
      <c r="O1201" s="815"/>
      <c r="P1201" s="164" t="s">
        <v>104</v>
      </c>
      <c r="Q1201" s="522">
        <f>SUM(Q1202:Q1240)</f>
        <v>177500</v>
      </c>
      <c r="R1201" s="522">
        <f>SUM(R1202:R1240)</f>
        <v>177500</v>
      </c>
      <c r="S1201" s="1329" t="s">
        <v>6136</v>
      </c>
      <c r="T1201" s="1329"/>
      <c r="U1201" s="1329"/>
      <c r="W1201" s="42" t="s">
        <v>2002</v>
      </c>
      <c r="X1201" s="16">
        <f t="shared" si="97"/>
        <v>0</v>
      </c>
      <c r="Y1201" s="16">
        <f>X1201-M1201</f>
        <v>0</v>
      </c>
    </row>
    <row r="1202" spans="1:25" s="42" customFormat="1" ht="15">
      <c r="A1202" s="740"/>
      <c r="B1202" s="446" t="s">
        <v>5400</v>
      </c>
      <c r="C1202" s="164"/>
      <c r="D1202" s="444"/>
      <c r="E1202" s="647"/>
      <c r="H1202" s="283"/>
      <c r="I1202" s="283"/>
      <c r="K1202" s="791">
        <v>1000</v>
      </c>
      <c r="L1202" s="283"/>
      <c r="M1202" s="283">
        <f t="shared" ref="M1202:M1265" si="103">SUM(K1202:L1202)</f>
        <v>1000</v>
      </c>
      <c r="N1202" s="283"/>
      <c r="O1202" s="815"/>
      <c r="P1202" s="164"/>
      <c r="Q1202" s="351">
        <v>1000</v>
      </c>
      <c r="R1202" s="351">
        <v>1000</v>
      </c>
      <c r="S1202" s="1329" t="s">
        <v>5394</v>
      </c>
      <c r="T1202" s="1329"/>
      <c r="U1202" s="1329"/>
      <c r="X1202" s="16"/>
      <c r="Y1202" s="16"/>
    </row>
    <row r="1203" spans="1:25" s="42" customFormat="1" ht="15">
      <c r="A1203" s="740"/>
      <c r="B1203" s="446" t="s">
        <v>5401</v>
      </c>
      <c r="C1203" s="164"/>
      <c r="D1203" s="444"/>
      <c r="E1203" s="647"/>
      <c r="H1203" s="283"/>
      <c r="I1203" s="283"/>
      <c r="K1203" s="791">
        <v>900</v>
      </c>
      <c r="L1203" s="283"/>
      <c r="M1203" s="283">
        <f t="shared" si="103"/>
        <v>900</v>
      </c>
      <c r="N1203" s="283"/>
      <c r="O1203" s="815"/>
      <c r="P1203" s="164"/>
      <c r="Q1203" s="351">
        <v>900</v>
      </c>
      <c r="R1203" s="351">
        <v>900</v>
      </c>
      <c r="S1203" s="1329" t="s">
        <v>5394</v>
      </c>
      <c r="T1203" s="1329"/>
      <c r="U1203" s="1329"/>
      <c r="X1203" s="16"/>
      <c r="Y1203" s="16"/>
    </row>
    <row r="1204" spans="1:25" s="42" customFormat="1" ht="15">
      <c r="A1204" s="740"/>
      <c r="B1204" s="446" t="s">
        <v>5402</v>
      </c>
      <c r="C1204" s="164"/>
      <c r="D1204" s="444"/>
      <c r="E1204" s="647"/>
      <c r="H1204" s="283"/>
      <c r="I1204" s="283"/>
      <c r="K1204" s="791">
        <v>1000</v>
      </c>
      <c r="L1204" s="283"/>
      <c r="M1204" s="283">
        <f t="shared" si="103"/>
        <v>1000</v>
      </c>
      <c r="N1204" s="283"/>
      <c r="O1204" s="815"/>
      <c r="P1204" s="164"/>
      <c r="Q1204" s="351">
        <v>1000</v>
      </c>
      <c r="R1204" s="351">
        <v>1000</v>
      </c>
      <c r="S1204" s="1329" t="s">
        <v>5394</v>
      </c>
      <c r="T1204" s="1329"/>
      <c r="U1204" s="1329"/>
      <c r="X1204" s="16"/>
      <c r="Y1204" s="16"/>
    </row>
    <row r="1205" spans="1:25" s="42" customFormat="1" ht="15">
      <c r="A1205" s="740"/>
      <c r="B1205" s="446" t="s">
        <v>5403</v>
      </c>
      <c r="C1205" s="164"/>
      <c r="D1205" s="444"/>
      <c r="E1205" s="647"/>
      <c r="H1205" s="283"/>
      <c r="I1205" s="283"/>
      <c r="K1205" s="791">
        <v>1000</v>
      </c>
      <c r="L1205" s="283"/>
      <c r="M1205" s="283">
        <f t="shared" si="103"/>
        <v>1000</v>
      </c>
      <c r="N1205" s="283"/>
      <c r="O1205" s="815"/>
      <c r="P1205" s="164"/>
      <c r="Q1205" s="351">
        <v>1000</v>
      </c>
      <c r="R1205" s="351">
        <v>1000</v>
      </c>
      <c r="S1205" s="1114" t="s">
        <v>6146</v>
      </c>
      <c r="T1205" s="1119"/>
      <c r="U1205" s="1068" t="s">
        <v>6147</v>
      </c>
      <c r="X1205" s="16"/>
      <c r="Y1205" s="16"/>
    </row>
    <row r="1206" spans="1:25" s="42" customFormat="1" ht="15">
      <c r="A1206" s="740"/>
      <c r="B1206" s="446" t="s">
        <v>5404</v>
      </c>
      <c r="C1206" s="164"/>
      <c r="D1206" s="444"/>
      <c r="E1206" s="647"/>
      <c r="H1206" s="283"/>
      <c r="I1206" s="283"/>
      <c r="K1206" s="791">
        <v>900</v>
      </c>
      <c r="L1206" s="283"/>
      <c r="M1206" s="283">
        <f t="shared" si="103"/>
        <v>900</v>
      </c>
      <c r="N1206" s="283"/>
      <c r="O1206" s="815"/>
      <c r="P1206" s="164"/>
      <c r="Q1206" s="351">
        <v>900</v>
      </c>
      <c r="R1206" s="351">
        <v>900</v>
      </c>
      <c r="S1206" s="1114" t="s">
        <v>5394</v>
      </c>
      <c r="T1206" s="1119"/>
      <c r="U1206" s="1068" t="s">
        <v>6147</v>
      </c>
      <c r="X1206" s="16"/>
      <c r="Y1206" s="16"/>
    </row>
    <row r="1207" spans="1:25" s="42" customFormat="1" ht="33.75" customHeight="1">
      <c r="A1207" s="740"/>
      <c r="B1207" s="446" t="s">
        <v>5405</v>
      </c>
      <c r="C1207" s="164"/>
      <c r="D1207" s="444"/>
      <c r="E1207" s="647"/>
      <c r="H1207" s="283"/>
      <c r="I1207" s="283"/>
      <c r="K1207" s="791">
        <v>1000</v>
      </c>
      <c r="L1207" s="283"/>
      <c r="M1207" s="283">
        <f t="shared" si="103"/>
        <v>1000</v>
      </c>
      <c r="N1207" s="283"/>
      <c r="O1207" s="815"/>
      <c r="P1207" s="164"/>
      <c r="Q1207" s="351">
        <v>1000</v>
      </c>
      <c r="R1207" s="351">
        <v>1000</v>
      </c>
      <c r="S1207" s="1390" t="s">
        <v>6148</v>
      </c>
      <c r="T1207" s="1390"/>
      <c r="U1207" s="1390"/>
      <c r="X1207" s="16"/>
      <c r="Y1207" s="16"/>
    </row>
    <row r="1208" spans="1:25" s="42" customFormat="1" ht="15">
      <c r="A1208" s="740"/>
      <c r="B1208" s="446" t="s">
        <v>5406</v>
      </c>
      <c r="C1208" s="164"/>
      <c r="D1208" s="444"/>
      <c r="E1208" s="647"/>
      <c r="H1208" s="283"/>
      <c r="I1208" s="283"/>
      <c r="K1208" s="791">
        <v>2000</v>
      </c>
      <c r="L1208" s="283"/>
      <c r="M1208" s="283">
        <f t="shared" si="103"/>
        <v>2000</v>
      </c>
      <c r="N1208" s="283"/>
      <c r="O1208" s="815"/>
      <c r="P1208" s="164"/>
      <c r="Q1208" s="351">
        <v>2000</v>
      </c>
      <c r="R1208" s="351">
        <v>2000</v>
      </c>
      <c r="S1208" s="1329" t="s">
        <v>5394</v>
      </c>
      <c r="T1208" s="1329"/>
      <c r="U1208" s="1329"/>
      <c r="X1208" s="16"/>
      <c r="Y1208" s="16"/>
    </row>
    <row r="1209" spans="1:25" s="42" customFormat="1" ht="15">
      <c r="A1209" s="740"/>
      <c r="B1209" s="446" t="s">
        <v>5407</v>
      </c>
      <c r="C1209" s="164"/>
      <c r="D1209" s="444"/>
      <c r="E1209" s="647"/>
      <c r="H1209" s="283"/>
      <c r="I1209" s="283"/>
      <c r="K1209" s="791">
        <v>1000</v>
      </c>
      <c r="L1209" s="283"/>
      <c r="M1209" s="283">
        <f t="shared" si="103"/>
        <v>1000</v>
      </c>
      <c r="N1209" s="283"/>
      <c r="O1209" s="815"/>
      <c r="P1209" s="164"/>
      <c r="Q1209" s="351">
        <v>1000</v>
      </c>
      <c r="R1209" s="351">
        <v>1000</v>
      </c>
      <c r="S1209" s="1329" t="s">
        <v>5394</v>
      </c>
      <c r="T1209" s="1329"/>
      <c r="U1209" s="1329"/>
      <c r="X1209" s="16"/>
      <c r="Y1209" s="16"/>
    </row>
    <row r="1210" spans="1:25" s="42" customFormat="1" ht="15">
      <c r="A1210" s="740"/>
      <c r="B1210" s="446" t="s">
        <v>5408</v>
      </c>
      <c r="C1210" s="164"/>
      <c r="D1210" s="444"/>
      <c r="E1210" s="647"/>
      <c r="H1210" s="283"/>
      <c r="I1210" s="283"/>
      <c r="K1210" s="791">
        <v>2000</v>
      </c>
      <c r="L1210" s="283"/>
      <c r="M1210" s="283">
        <f t="shared" si="103"/>
        <v>2000</v>
      </c>
      <c r="N1210" s="283"/>
      <c r="O1210" s="815"/>
      <c r="P1210" s="164"/>
      <c r="Q1210" s="351">
        <v>2000</v>
      </c>
      <c r="R1210" s="351">
        <v>2000</v>
      </c>
      <c r="S1210" s="1329" t="s">
        <v>5394</v>
      </c>
      <c r="T1210" s="1329"/>
      <c r="U1210" s="1329"/>
      <c r="X1210" s="16"/>
      <c r="Y1210" s="16"/>
    </row>
    <row r="1211" spans="1:25" s="42" customFormat="1" ht="15">
      <c r="A1211" s="740"/>
      <c r="B1211" s="446" t="s">
        <v>5409</v>
      </c>
      <c r="C1211" s="164"/>
      <c r="D1211" s="444"/>
      <c r="E1211" s="647"/>
      <c r="H1211" s="283"/>
      <c r="I1211" s="283"/>
      <c r="K1211" s="791">
        <v>30000</v>
      </c>
      <c r="L1211" s="283"/>
      <c r="M1211" s="283">
        <f t="shared" si="103"/>
        <v>30000</v>
      </c>
      <c r="N1211" s="283"/>
      <c r="O1211" s="815"/>
      <c r="P1211" s="164"/>
      <c r="Q1211" s="351">
        <v>30000</v>
      </c>
      <c r="R1211" s="351">
        <v>30000</v>
      </c>
      <c r="S1211" s="1329" t="s">
        <v>5394</v>
      </c>
      <c r="T1211" s="1329"/>
      <c r="U1211" s="1329"/>
      <c r="X1211" s="16"/>
      <c r="Y1211" s="16"/>
    </row>
    <row r="1212" spans="1:25" s="42" customFormat="1" ht="15">
      <c r="A1212" s="740"/>
      <c r="B1212" s="446" t="s">
        <v>5410</v>
      </c>
      <c r="C1212" s="164"/>
      <c r="D1212" s="444"/>
      <c r="E1212" s="647"/>
      <c r="H1212" s="283"/>
      <c r="I1212" s="283"/>
      <c r="K1212" s="791">
        <v>1000</v>
      </c>
      <c r="L1212" s="283"/>
      <c r="M1212" s="283">
        <f t="shared" si="103"/>
        <v>1000</v>
      </c>
      <c r="N1212" s="283"/>
      <c r="O1212" s="815"/>
      <c r="P1212" s="164"/>
      <c r="Q1212" s="351">
        <v>1000</v>
      </c>
      <c r="R1212" s="351">
        <v>1000</v>
      </c>
      <c r="S1212" s="1329" t="s">
        <v>5394</v>
      </c>
      <c r="T1212" s="1329"/>
      <c r="U1212" s="1329"/>
      <c r="X1212" s="16"/>
      <c r="Y1212" s="16"/>
    </row>
    <row r="1213" spans="1:25" s="42" customFormat="1" ht="15">
      <c r="A1213" s="740"/>
      <c r="B1213" s="446" t="s">
        <v>5411</v>
      </c>
      <c r="C1213" s="164"/>
      <c r="D1213" s="444"/>
      <c r="E1213" s="647"/>
      <c r="H1213" s="283"/>
      <c r="I1213" s="283"/>
      <c r="K1213" s="791">
        <v>1000</v>
      </c>
      <c r="L1213" s="283"/>
      <c r="M1213" s="283">
        <f t="shared" si="103"/>
        <v>1000</v>
      </c>
      <c r="N1213" s="283"/>
      <c r="O1213" s="815"/>
      <c r="P1213" s="164"/>
      <c r="Q1213" s="351">
        <v>1000</v>
      </c>
      <c r="R1213" s="351">
        <v>1000</v>
      </c>
      <c r="S1213" s="1329" t="s">
        <v>5394</v>
      </c>
      <c r="T1213" s="1329"/>
      <c r="U1213" s="1329"/>
      <c r="X1213" s="16"/>
      <c r="Y1213" s="16"/>
    </row>
    <row r="1214" spans="1:25" s="42" customFormat="1" ht="15">
      <c r="A1214" s="740"/>
      <c r="B1214" s="446" t="s">
        <v>5412</v>
      </c>
      <c r="C1214" s="164"/>
      <c r="D1214" s="444"/>
      <c r="E1214" s="647"/>
      <c r="H1214" s="283"/>
      <c r="I1214" s="283"/>
      <c r="K1214" s="791">
        <v>600</v>
      </c>
      <c r="L1214" s="283"/>
      <c r="M1214" s="283">
        <f t="shared" si="103"/>
        <v>600</v>
      </c>
      <c r="N1214" s="283"/>
      <c r="O1214" s="815"/>
      <c r="P1214" s="164"/>
      <c r="Q1214" s="351">
        <v>600</v>
      </c>
      <c r="R1214" s="351">
        <v>600</v>
      </c>
      <c r="S1214" s="1329" t="s">
        <v>5394</v>
      </c>
      <c r="T1214" s="1329"/>
      <c r="U1214" s="1329"/>
      <c r="X1214" s="16"/>
      <c r="Y1214" s="16"/>
    </row>
    <row r="1215" spans="1:25" s="42" customFormat="1" ht="15">
      <c r="A1215" s="740"/>
      <c r="B1215" s="446" t="s">
        <v>5413</v>
      </c>
      <c r="C1215" s="164"/>
      <c r="D1215" s="444"/>
      <c r="E1215" s="647"/>
      <c r="H1215" s="283"/>
      <c r="I1215" s="283"/>
      <c r="K1215" s="791">
        <v>800</v>
      </c>
      <c r="L1215" s="283"/>
      <c r="M1215" s="283">
        <f t="shared" si="103"/>
        <v>800</v>
      </c>
      <c r="N1215" s="283"/>
      <c r="O1215" s="815"/>
      <c r="P1215" s="164"/>
      <c r="Q1215" s="351">
        <v>800</v>
      </c>
      <c r="R1215" s="351">
        <v>800</v>
      </c>
      <c r="S1215" s="1329" t="s">
        <v>5394</v>
      </c>
      <c r="T1215" s="1329"/>
      <c r="U1215" s="1329"/>
      <c r="X1215" s="16"/>
      <c r="Y1215" s="16"/>
    </row>
    <row r="1216" spans="1:25" s="42" customFormat="1" ht="15">
      <c r="A1216" s="740"/>
      <c r="B1216" s="446" t="s">
        <v>5414</v>
      </c>
      <c r="C1216" s="164"/>
      <c r="D1216" s="444"/>
      <c r="E1216" s="647"/>
      <c r="H1216" s="283"/>
      <c r="I1216" s="283"/>
      <c r="K1216" s="791">
        <v>1000</v>
      </c>
      <c r="L1216" s="283"/>
      <c r="M1216" s="283">
        <f t="shared" si="103"/>
        <v>1000</v>
      </c>
      <c r="N1216" s="283"/>
      <c r="O1216" s="815"/>
      <c r="P1216" s="164"/>
      <c r="Q1216" s="351">
        <v>1000</v>
      </c>
      <c r="R1216" s="351">
        <v>1000</v>
      </c>
      <c r="S1216" s="1329" t="s">
        <v>5394</v>
      </c>
      <c r="T1216" s="1329"/>
      <c r="U1216" s="1329"/>
      <c r="X1216" s="16"/>
      <c r="Y1216" s="16"/>
    </row>
    <row r="1217" spans="1:25" s="42" customFormat="1" ht="15">
      <c r="A1217" s="740"/>
      <c r="B1217" s="446" t="s">
        <v>5415</v>
      </c>
      <c r="C1217" s="164"/>
      <c r="D1217" s="444"/>
      <c r="E1217" s="647"/>
      <c r="H1217" s="283"/>
      <c r="I1217" s="283"/>
      <c r="K1217" s="791">
        <v>700</v>
      </c>
      <c r="L1217" s="283"/>
      <c r="M1217" s="283">
        <f t="shared" si="103"/>
        <v>700</v>
      </c>
      <c r="N1217" s="283"/>
      <c r="O1217" s="815"/>
      <c r="P1217" s="164"/>
      <c r="Q1217" s="351">
        <v>700</v>
      </c>
      <c r="R1217" s="351">
        <v>700</v>
      </c>
      <c r="S1217" s="1329" t="s">
        <v>5394</v>
      </c>
      <c r="T1217" s="1329"/>
      <c r="U1217" s="1329"/>
      <c r="X1217" s="16"/>
      <c r="Y1217" s="16"/>
    </row>
    <row r="1218" spans="1:25" s="42" customFormat="1" ht="15">
      <c r="A1218" s="740"/>
      <c r="B1218" s="446" t="s">
        <v>5416</v>
      </c>
      <c r="C1218" s="164"/>
      <c r="D1218" s="444"/>
      <c r="E1218" s="647"/>
      <c r="H1218" s="283"/>
      <c r="I1218" s="283"/>
      <c r="K1218" s="791">
        <v>800</v>
      </c>
      <c r="L1218" s="283"/>
      <c r="M1218" s="283">
        <f t="shared" si="103"/>
        <v>800</v>
      </c>
      <c r="N1218" s="283"/>
      <c r="O1218" s="815"/>
      <c r="P1218" s="164"/>
      <c r="Q1218" s="351">
        <v>800</v>
      </c>
      <c r="R1218" s="351">
        <v>800</v>
      </c>
      <c r="S1218" s="1329" t="s">
        <v>5394</v>
      </c>
      <c r="T1218" s="1329"/>
      <c r="U1218" s="1329"/>
      <c r="X1218" s="16"/>
      <c r="Y1218" s="16"/>
    </row>
    <row r="1219" spans="1:25" s="42" customFormat="1" ht="15">
      <c r="A1219" s="740"/>
      <c r="B1219" s="446" t="s">
        <v>5417</v>
      </c>
      <c r="C1219" s="164"/>
      <c r="D1219" s="444"/>
      <c r="E1219" s="647"/>
      <c r="H1219" s="283"/>
      <c r="I1219" s="283"/>
      <c r="K1219" s="791">
        <v>900</v>
      </c>
      <c r="L1219" s="283"/>
      <c r="M1219" s="283">
        <f t="shared" si="103"/>
        <v>900</v>
      </c>
      <c r="N1219" s="283"/>
      <c r="O1219" s="815"/>
      <c r="P1219" s="164"/>
      <c r="Q1219" s="351">
        <v>900</v>
      </c>
      <c r="R1219" s="351">
        <v>900</v>
      </c>
      <c r="S1219" s="1329" t="s">
        <v>5394</v>
      </c>
      <c r="T1219" s="1329"/>
      <c r="U1219" s="1329"/>
      <c r="X1219" s="16"/>
      <c r="Y1219" s="16"/>
    </row>
    <row r="1220" spans="1:25" s="42" customFormat="1" ht="15">
      <c r="A1220" s="740"/>
      <c r="B1220" s="446" t="s">
        <v>5418</v>
      </c>
      <c r="C1220" s="164"/>
      <c r="D1220" s="444"/>
      <c r="E1220" s="647"/>
      <c r="H1220" s="283"/>
      <c r="I1220" s="283"/>
      <c r="K1220" s="791">
        <v>20000</v>
      </c>
      <c r="L1220" s="283"/>
      <c r="M1220" s="283">
        <f t="shared" si="103"/>
        <v>20000</v>
      </c>
      <c r="N1220" s="283"/>
      <c r="O1220" s="815"/>
      <c r="P1220" s="164"/>
      <c r="Q1220" s="351">
        <v>20000</v>
      </c>
      <c r="R1220" s="351">
        <v>20000</v>
      </c>
      <c r="S1220" s="1329" t="s">
        <v>5394</v>
      </c>
      <c r="T1220" s="1329"/>
      <c r="U1220" s="1329"/>
      <c r="X1220" s="16"/>
      <c r="Y1220" s="16"/>
    </row>
    <row r="1221" spans="1:25" s="42" customFormat="1" ht="15">
      <c r="A1221" s="740"/>
      <c r="B1221" s="446" t="s">
        <v>5419</v>
      </c>
      <c r="C1221" s="164"/>
      <c r="D1221" s="444"/>
      <c r="E1221" s="647"/>
      <c r="H1221" s="283"/>
      <c r="I1221" s="283"/>
      <c r="K1221" s="791">
        <v>600</v>
      </c>
      <c r="L1221" s="283"/>
      <c r="M1221" s="283">
        <f t="shared" si="103"/>
        <v>600</v>
      </c>
      <c r="N1221" s="283"/>
      <c r="O1221" s="815"/>
      <c r="P1221" s="164"/>
      <c r="Q1221" s="351">
        <v>600</v>
      </c>
      <c r="R1221" s="351">
        <v>600</v>
      </c>
      <c r="S1221" s="1329" t="s">
        <v>5394</v>
      </c>
      <c r="T1221" s="1329"/>
      <c r="U1221" s="1329"/>
      <c r="X1221" s="16"/>
      <c r="Y1221" s="16"/>
    </row>
    <row r="1222" spans="1:25" s="42" customFormat="1" ht="15">
      <c r="A1222" s="740"/>
      <c r="B1222" s="446" t="s">
        <v>5420</v>
      </c>
      <c r="C1222" s="164"/>
      <c r="D1222" s="444"/>
      <c r="E1222" s="647"/>
      <c r="H1222" s="283"/>
      <c r="I1222" s="283"/>
      <c r="K1222" s="791">
        <v>1000</v>
      </c>
      <c r="L1222" s="283"/>
      <c r="M1222" s="283">
        <f t="shared" si="103"/>
        <v>1000</v>
      </c>
      <c r="N1222" s="283"/>
      <c r="O1222" s="815"/>
      <c r="P1222" s="164"/>
      <c r="Q1222" s="351">
        <v>1000</v>
      </c>
      <c r="R1222" s="351">
        <v>1000</v>
      </c>
      <c r="S1222" s="1327" t="s">
        <v>5437</v>
      </c>
      <c r="T1222" s="1327"/>
      <c r="U1222" s="1327"/>
      <c r="X1222" s="16"/>
      <c r="Y1222" s="16"/>
    </row>
    <row r="1223" spans="1:25" s="42" customFormat="1" ht="15">
      <c r="A1223" s="740"/>
      <c r="B1223" s="446" t="s">
        <v>5421</v>
      </c>
      <c r="C1223" s="164"/>
      <c r="D1223" s="444"/>
      <c r="E1223" s="647"/>
      <c r="H1223" s="283"/>
      <c r="I1223" s="283"/>
      <c r="K1223" s="791">
        <v>900</v>
      </c>
      <c r="L1223" s="283"/>
      <c r="M1223" s="283">
        <f t="shared" si="103"/>
        <v>900</v>
      </c>
      <c r="N1223" s="283"/>
      <c r="O1223" s="815"/>
      <c r="P1223" s="164"/>
      <c r="Q1223" s="351">
        <v>900</v>
      </c>
      <c r="R1223" s="351">
        <v>900</v>
      </c>
      <c r="S1223" s="1329" t="s">
        <v>5394</v>
      </c>
      <c r="T1223" s="1329"/>
      <c r="U1223" s="1329"/>
      <c r="X1223" s="16"/>
      <c r="Y1223" s="16"/>
    </row>
    <row r="1224" spans="1:25" s="42" customFormat="1" ht="15">
      <c r="A1224" s="740"/>
      <c r="B1224" s="446" t="s">
        <v>5422</v>
      </c>
      <c r="C1224" s="164"/>
      <c r="D1224" s="444"/>
      <c r="E1224" s="647"/>
      <c r="H1224" s="283"/>
      <c r="I1224" s="283"/>
      <c r="K1224" s="791">
        <v>900</v>
      </c>
      <c r="L1224" s="283"/>
      <c r="M1224" s="283">
        <f t="shared" si="103"/>
        <v>900</v>
      </c>
      <c r="N1224" s="283"/>
      <c r="O1224" s="815"/>
      <c r="P1224" s="164"/>
      <c r="Q1224" s="351">
        <v>900</v>
      </c>
      <c r="R1224" s="351">
        <v>900</v>
      </c>
      <c r="S1224" s="1329" t="s">
        <v>5394</v>
      </c>
      <c r="T1224" s="1329"/>
      <c r="U1224" s="1329"/>
      <c r="X1224" s="16"/>
      <c r="Y1224" s="16"/>
    </row>
    <row r="1225" spans="1:25" s="42" customFormat="1" ht="15">
      <c r="A1225" s="740"/>
      <c r="B1225" s="446" t="s">
        <v>5423</v>
      </c>
      <c r="C1225" s="164"/>
      <c r="D1225" s="444"/>
      <c r="E1225" s="647"/>
      <c r="H1225" s="283"/>
      <c r="I1225" s="283"/>
      <c r="K1225" s="791">
        <v>700</v>
      </c>
      <c r="L1225" s="283"/>
      <c r="M1225" s="283">
        <f t="shared" si="103"/>
        <v>700</v>
      </c>
      <c r="N1225" s="283"/>
      <c r="O1225" s="815"/>
      <c r="P1225" s="164"/>
      <c r="Q1225" s="351">
        <v>700</v>
      </c>
      <c r="R1225" s="351">
        <v>700</v>
      </c>
      <c r="S1225" s="1329" t="s">
        <v>5394</v>
      </c>
      <c r="T1225" s="1329"/>
      <c r="U1225" s="1329"/>
      <c r="X1225" s="16"/>
      <c r="Y1225" s="16"/>
    </row>
    <row r="1226" spans="1:25" s="42" customFormat="1" ht="15">
      <c r="A1226" s="740"/>
      <c r="B1226" s="446" t="s">
        <v>5424</v>
      </c>
      <c r="C1226" s="164"/>
      <c r="D1226" s="444"/>
      <c r="E1226" s="647"/>
      <c r="H1226" s="283"/>
      <c r="I1226" s="283"/>
      <c r="K1226" s="791">
        <v>700</v>
      </c>
      <c r="L1226" s="283"/>
      <c r="M1226" s="283">
        <f t="shared" si="103"/>
        <v>700</v>
      </c>
      <c r="N1226" s="283"/>
      <c r="O1226" s="815"/>
      <c r="P1226" s="164"/>
      <c r="Q1226" s="351">
        <v>700</v>
      </c>
      <c r="R1226" s="351">
        <v>700</v>
      </c>
      <c r="S1226" s="1329" t="s">
        <v>5394</v>
      </c>
      <c r="T1226" s="1329"/>
      <c r="U1226" s="1329"/>
      <c r="X1226" s="16"/>
      <c r="Y1226" s="16"/>
    </row>
    <row r="1227" spans="1:25" s="42" customFormat="1" ht="15" customHeight="1">
      <c r="A1227" s="740"/>
      <c r="B1227" s="446" t="s">
        <v>5425</v>
      </c>
      <c r="C1227" s="164"/>
      <c r="D1227" s="444"/>
      <c r="E1227" s="647"/>
      <c r="H1227" s="283"/>
      <c r="I1227" s="283"/>
      <c r="K1227" s="791">
        <v>25000</v>
      </c>
      <c r="L1227" s="283"/>
      <c r="M1227" s="283">
        <f t="shared" si="103"/>
        <v>25000</v>
      </c>
      <c r="N1227" s="283"/>
      <c r="O1227" s="815"/>
      <c r="P1227" s="164"/>
      <c r="Q1227" s="351">
        <v>25000</v>
      </c>
      <c r="R1227" s="351">
        <v>25000</v>
      </c>
      <c r="S1227" s="1329" t="s">
        <v>5394</v>
      </c>
      <c r="T1227" s="1329"/>
      <c r="U1227" s="1329"/>
      <c r="X1227" s="16"/>
      <c r="Y1227" s="16"/>
    </row>
    <row r="1228" spans="1:25" s="42" customFormat="1" ht="51" customHeight="1">
      <c r="A1228" s="740"/>
      <c r="B1228" s="101" t="s">
        <v>5426</v>
      </c>
      <c r="C1228" s="164"/>
      <c r="D1228" s="444"/>
      <c r="E1228" s="647"/>
      <c r="H1228" s="283"/>
      <c r="I1228" s="283"/>
      <c r="K1228" s="791">
        <v>2000</v>
      </c>
      <c r="L1228" s="283"/>
      <c r="M1228" s="21">
        <f t="shared" si="103"/>
        <v>2000</v>
      </c>
      <c r="N1228" s="21"/>
      <c r="O1228" s="58"/>
      <c r="P1228" s="108"/>
      <c r="Q1228" s="93">
        <v>2000</v>
      </c>
      <c r="R1228" s="93">
        <v>2000</v>
      </c>
      <c r="S1228" s="1338" t="s">
        <v>5438</v>
      </c>
      <c r="T1228" s="1338"/>
      <c r="U1228" s="1338"/>
      <c r="X1228" s="16"/>
      <c r="Y1228" s="16"/>
    </row>
    <row r="1229" spans="1:25" s="42" customFormat="1" ht="15">
      <c r="A1229" s="740"/>
      <c r="B1229" s="446" t="s">
        <v>5427</v>
      </c>
      <c r="C1229" s="164"/>
      <c r="D1229" s="444"/>
      <c r="E1229" s="647"/>
      <c r="H1229" s="283"/>
      <c r="I1229" s="283"/>
      <c r="K1229" s="791">
        <v>1000</v>
      </c>
      <c r="L1229" s="283"/>
      <c r="M1229" s="283">
        <f t="shared" si="103"/>
        <v>1000</v>
      </c>
      <c r="N1229" s="283"/>
      <c r="O1229" s="815"/>
      <c r="P1229" s="164"/>
      <c r="Q1229" s="351">
        <v>1000</v>
      </c>
      <c r="R1229" s="351">
        <v>1000</v>
      </c>
      <c r="S1229" s="1329" t="s">
        <v>5394</v>
      </c>
      <c r="T1229" s="1329"/>
      <c r="U1229" s="1329"/>
      <c r="X1229" s="16"/>
      <c r="Y1229" s="16"/>
    </row>
    <row r="1230" spans="1:25" s="42" customFormat="1" ht="15">
      <c r="A1230" s="740"/>
      <c r="B1230" s="446" t="s">
        <v>5428</v>
      </c>
      <c r="C1230" s="164"/>
      <c r="D1230" s="444"/>
      <c r="E1230" s="647"/>
      <c r="H1230" s="283"/>
      <c r="I1230" s="283"/>
      <c r="K1230" s="791">
        <v>1000</v>
      </c>
      <c r="L1230" s="283"/>
      <c r="M1230" s="283">
        <f t="shared" si="103"/>
        <v>1000</v>
      </c>
      <c r="N1230" s="283"/>
      <c r="O1230" s="815"/>
      <c r="P1230" s="164"/>
      <c r="Q1230" s="351">
        <v>1000</v>
      </c>
      <c r="R1230" s="351">
        <v>1000</v>
      </c>
      <c r="S1230" s="188" t="s">
        <v>5394</v>
      </c>
      <c r="T1230" s="1067"/>
      <c r="U1230" s="188" t="s">
        <v>6149</v>
      </c>
      <c r="X1230" s="16"/>
      <c r="Y1230" s="16"/>
    </row>
    <row r="1231" spans="1:25" s="42" customFormat="1" ht="45">
      <c r="A1231" s="740"/>
      <c r="B1231" s="101" t="s">
        <v>5429</v>
      </c>
      <c r="C1231" s="164"/>
      <c r="D1231" s="444"/>
      <c r="E1231" s="647"/>
      <c r="H1231" s="283"/>
      <c r="I1231" s="283"/>
      <c r="K1231" s="791">
        <v>500</v>
      </c>
      <c r="L1231" s="283"/>
      <c r="M1231" s="283">
        <f t="shared" si="103"/>
        <v>500</v>
      </c>
      <c r="N1231" s="283"/>
      <c r="O1231" s="815"/>
      <c r="P1231" s="164"/>
      <c r="Q1231" s="93">
        <v>500</v>
      </c>
      <c r="R1231" s="93">
        <v>500</v>
      </c>
      <c r="S1231" s="21" t="s">
        <v>5394</v>
      </c>
      <c r="T1231" s="1067"/>
      <c r="U1231" s="1069" t="s">
        <v>6150</v>
      </c>
      <c r="X1231" s="16"/>
      <c r="Y1231" s="16"/>
    </row>
    <row r="1232" spans="1:25" s="42" customFormat="1" ht="15">
      <c r="A1232" s="740"/>
      <c r="B1232" s="446" t="s">
        <v>5430</v>
      </c>
      <c r="C1232" s="164"/>
      <c r="D1232" s="444"/>
      <c r="E1232" s="647"/>
      <c r="H1232" s="283"/>
      <c r="I1232" s="283"/>
      <c r="K1232" s="791">
        <v>1000</v>
      </c>
      <c r="L1232" s="283"/>
      <c r="M1232" s="283">
        <f t="shared" si="103"/>
        <v>1000</v>
      </c>
      <c r="N1232" s="283"/>
      <c r="O1232" s="815"/>
      <c r="P1232" s="164"/>
      <c r="Q1232" s="351">
        <v>1000</v>
      </c>
      <c r="R1232" s="351">
        <v>1000</v>
      </c>
      <c r="S1232" s="188" t="s">
        <v>5394</v>
      </c>
      <c r="T1232" s="1067"/>
      <c r="U1232" s="188" t="s">
        <v>6151</v>
      </c>
      <c r="X1232" s="16"/>
      <c r="Y1232" s="16"/>
    </row>
    <row r="1233" spans="1:25" s="42" customFormat="1" ht="75">
      <c r="A1233" s="740"/>
      <c r="B1233" s="101" t="s">
        <v>5431</v>
      </c>
      <c r="C1233" s="164"/>
      <c r="D1233" s="444"/>
      <c r="E1233" s="647"/>
      <c r="H1233" s="283"/>
      <c r="I1233" s="283"/>
      <c r="K1233" s="791">
        <v>900</v>
      </c>
      <c r="L1233" s="283"/>
      <c r="M1233" s="283">
        <f t="shared" si="103"/>
        <v>900</v>
      </c>
      <c r="N1233" s="283"/>
      <c r="O1233" s="815"/>
      <c r="P1233" s="164"/>
      <c r="Q1233" s="93">
        <v>900</v>
      </c>
      <c r="R1233" s="93">
        <v>900</v>
      </c>
      <c r="S1233" s="21" t="s">
        <v>5394</v>
      </c>
      <c r="T1233" s="1067"/>
      <c r="U1233" s="1069" t="s">
        <v>6152</v>
      </c>
      <c r="X1233" s="16"/>
      <c r="Y1233" s="16"/>
    </row>
    <row r="1234" spans="1:25" s="42" customFormat="1" ht="15">
      <c r="A1234" s="740"/>
      <c r="B1234" s="446" t="s">
        <v>5432</v>
      </c>
      <c r="C1234" s="164"/>
      <c r="D1234" s="444"/>
      <c r="E1234" s="647"/>
      <c r="H1234" s="283"/>
      <c r="I1234" s="283"/>
      <c r="K1234" s="791">
        <v>1000</v>
      </c>
      <c r="L1234" s="283"/>
      <c r="M1234" s="283">
        <f t="shared" si="103"/>
        <v>1000</v>
      </c>
      <c r="N1234" s="283"/>
      <c r="O1234" s="815"/>
      <c r="P1234" s="164"/>
      <c r="Q1234" s="351">
        <v>1000</v>
      </c>
      <c r="R1234" s="351">
        <v>1000</v>
      </c>
      <c r="S1234" s="1329" t="s">
        <v>5394</v>
      </c>
      <c r="T1234" s="1329"/>
      <c r="U1234" s="1329"/>
      <c r="X1234" s="16"/>
      <c r="Y1234" s="16"/>
    </row>
    <row r="1235" spans="1:25" s="42" customFormat="1" ht="15">
      <c r="A1235" s="740"/>
      <c r="B1235" s="446" t="s">
        <v>1716</v>
      </c>
      <c r="C1235" s="164"/>
      <c r="D1235" s="444"/>
      <c r="E1235" s="647"/>
      <c r="H1235" s="283"/>
      <c r="I1235" s="283"/>
      <c r="K1235" s="791">
        <v>35000</v>
      </c>
      <c r="L1235" s="283"/>
      <c r="M1235" s="283">
        <f t="shared" si="103"/>
        <v>35000</v>
      </c>
      <c r="N1235" s="283"/>
      <c r="O1235" s="815"/>
      <c r="P1235" s="164"/>
      <c r="Q1235" s="351">
        <v>35000</v>
      </c>
      <c r="R1235" s="351">
        <v>35000</v>
      </c>
      <c r="S1235" s="1329" t="s">
        <v>5394</v>
      </c>
      <c r="T1235" s="1329"/>
      <c r="U1235" s="1329"/>
      <c r="X1235" s="16"/>
      <c r="Y1235" s="16"/>
    </row>
    <row r="1236" spans="1:25" s="42" customFormat="1" ht="30">
      <c r="A1236" s="740"/>
      <c r="B1236" s="101" t="s">
        <v>5433</v>
      </c>
      <c r="C1236" s="164"/>
      <c r="D1236" s="444"/>
      <c r="E1236" s="647"/>
      <c r="H1236" s="283"/>
      <c r="I1236" s="283"/>
      <c r="K1236" s="791">
        <v>10000</v>
      </c>
      <c r="L1236" s="283"/>
      <c r="M1236" s="283">
        <f t="shared" si="103"/>
        <v>10000</v>
      </c>
      <c r="N1236" s="283"/>
      <c r="O1236" s="815"/>
      <c r="P1236" s="164"/>
      <c r="Q1236" s="93">
        <v>10000</v>
      </c>
      <c r="R1236" s="93">
        <v>10000</v>
      </c>
      <c r="S1236" s="21" t="s">
        <v>5394</v>
      </c>
      <c r="T1236" s="1067"/>
      <c r="U1236" s="1069" t="s">
        <v>6153</v>
      </c>
      <c r="X1236" s="16"/>
      <c r="Y1236" s="16"/>
    </row>
    <row r="1237" spans="1:25" s="42" customFormat="1" ht="15">
      <c r="A1237" s="740"/>
      <c r="B1237" s="446" t="s">
        <v>5434</v>
      </c>
      <c r="C1237" s="164"/>
      <c r="D1237" s="444"/>
      <c r="E1237" s="647"/>
      <c r="H1237" s="283"/>
      <c r="I1237" s="283"/>
      <c r="K1237" s="791">
        <v>700</v>
      </c>
      <c r="L1237" s="283"/>
      <c r="M1237" s="283">
        <f t="shared" si="103"/>
        <v>700</v>
      </c>
      <c r="N1237" s="283"/>
      <c r="O1237" s="815"/>
      <c r="P1237" s="164"/>
      <c r="Q1237" s="351">
        <v>700</v>
      </c>
      <c r="R1237" s="351">
        <v>700</v>
      </c>
      <c r="S1237" s="1329" t="s">
        <v>5394</v>
      </c>
      <c r="T1237" s="1329"/>
      <c r="U1237" s="1329"/>
      <c r="X1237" s="16"/>
      <c r="Y1237" s="16"/>
    </row>
    <row r="1238" spans="1:25" s="42" customFormat="1" ht="15">
      <c r="A1238" s="740"/>
      <c r="B1238" s="446" t="s">
        <v>5435</v>
      </c>
      <c r="C1238" s="164"/>
      <c r="D1238" s="444"/>
      <c r="E1238" s="647"/>
      <c r="H1238" s="283"/>
      <c r="I1238" s="283"/>
      <c r="K1238" s="791">
        <v>1000</v>
      </c>
      <c r="L1238" s="283"/>
      <c r="M1238" s="283">
        <f t="shared" si="103"/>
        <v>1000</v>
      </c>
      <c r="N1238" s="283"/>
      <c r="O1238" s="815"/>
      <c r="P1238" s="164"/>
      <c r="Q1238" s="351">
        <v>1000</v>
      </c>
      <c r="R1238" s="351">
        <v>1000</v>
      </c>
      <c r="S1238" s="1329" t="s">
        <v>5394</v>
      </c>
      <c r="T1238" s="1329"/>
      <c r="U1238" s="1329"/>
      <c r="X1238" s="16"/>
      <c r="Y1238" s="16"/>
    </row>
    <row r="1239" spans="1:25" s="42" customFormat="1" ht="15">
      <c r="A1239" s="740"/>
      <c r="B1239" s="446" t="s">
        <v>5436</v>
      </c>
      <c r="C1239" s="164"/>
      <c r="D1239" s="444"/>
      <c r="E1239" s="647"/>
      <c r="H1239" s="283"/>
      <c r="I1239" s="283"/>
      <c r="K1239" s="791">
        <v>1000</v>
      </c>
      <c r="L1239" s="283"/>
      <c r="M1239" s="283">
        <f t="shared" si="103"/>
        <v>1000</v>
      </c>
      <c r="N1239" s="283"/>
      <c r="O1239" s="815"/>
      <c r="P1239" s="164"/>
      <c r="Q1239" s="351">
        <v>1000</v>
      </c>
      <c r="R1239" s="351">
        <v>1000</v>
      </c>
      <c r="S1239" s="1329" t="s">
        <v>5394</v>
      </c>
      <c r="T1239" s="1329"/>
      <c r="U1239" s="1329"/>
      <c r="X1239" s="16"/>
      <c r="Y1239" s="16"/>
    </row>
    <row r="1240" spans="1:25" s="42" customFormat="1" ht="15">
      <c r="A1240" s="740"/>
      <c r="B1240" s="446" t="s">
        <v>3922</v>
      </c>
      <c r="C1240" s="164"/>
      <c r="D1240" s="444"/>
      <c r="E1240" s="647"/>
      <c r="H1240" s="283"/>
      <c r="I1240" s="283"/>
      <c r="K1240" s="791">
        <v>25000</v>
      </c>
      <c r="L1240" s="283"/>
      <c r="M1240" s="283">
        <f t="shared" si="103"/>
        <v>25000</v>
      </c>
      <c r="N1240" s="283"/>
      <c r="O1240" s="815"/>
      <c r="P1240" s="164"/>
      <c r="Q1240" s="351">
        <v>25000</v>
      </c>
      <c r="R1240" s="351">
        <v>25000</v>
      </c>
      <c r="S1240" s="1329" t="s">
        <v>5394</v>
      </c>
      <c r="T1240" s="1329"/>
      <c r="U1240" s="1329"/>
      <c r="X1240" s="16"/>
      <c r="Y1240" s="16"/>
    </row>
    <row r="1241" spans="1:25" s="42" customFormat="1" ht="15">
      <c r="A1241" s="740"/>
      <c r="B1241" s="446" t="s">
        <v>1607</v>
      </c>
      <c r="C1241" s="164" t="s">
        <v>2415</v>
      </c>
      <c r="D1241" s="444">
        <v>40899</v>
      </c>
      <c r="E1241" s="647"/>
      <c r="F1241" s="42" t="s">
        <v>315</v>
      </c>
      <c r="H1241" s="283"/>
      <c r="I1241" s="283"/>
      <c r="K1241" s="283"/>
      <c r="L1241" s="283"/>
      <c r="M1241" s="283">
        <f t="shared" si="103"/>
        <v>0</v>
      </c>
      <c r="N1241" s="283"/>
      <c r="O1241" s="815"/>
      <c r="P1241" s="164" t="s">
        <v>104</v>
      </c>
      <c r="Q1241" s="522">
        <f>SUM(Q1242:Q1302)</f>
        <v>254200</v>
      </c>
      <c r="R1241" s="522">
        <f>SUM(R1242:R1302)</f>
        <v>254200</v>
      </c>
      <c r="S1241" s="877" t="s">
        <v>2416</v>
      </c>
      <c r="T1241" s="933"/>
      <c r="U1241" s="933"/>
      <c r="W1241" s="42" t="s">
        <v>2002</v>
      </c>
      <c r="X1241" s="16">
        <f t="shared" si="97"/>
        <v>0</v>
      </c>
      <c r="Y1241" s="16">
        <f>X1241-M1241</f>
        <v>0</v>
      </c>
    </row>
    <row r="1242" spans="1:25" s="42" customFormat="1" ht="15">
      <c r="A1242" s="740"/>
      <c r="B1242" s="353" t="s">
        <v>5578</v>
      </c>
      <c r="C1242" s="164"/>
      <c r="D1242" s="444"/>
      <c r="E1242" s="647"/>
      <c r="H1242" s="283"/>
      <c r="I1242" s="283"/>
      <c r="K1242" s="805">
        <v>30000</v>
      </c>
      <c r="L1242" s="283"/>
      <c r="M1242" s="283">
        <f t="shared" si="103"/>
        <v>30000</v>
      </c>
      <c r="N1242" s="283"/>
      <c r="O1242" s="815"/>
      <c r="P1242" s="164"/>
      <c r="Q1242" s="997">
        <v>30000</v>
      </c>
      <c r="R1242" s="997">
        <v>30000</v>
      </c>
      <c r="S1242" s="877"/>
      <c r="T1242" s="933"/>
      <c r="U1242" s="933"/>
      <c r="X1242" s="16"/>
      <c r="Y1242" s="16"/>
    </row>
    <row r="1243" spans="1:25" s="42" customFormat="1" ht="15">
      <c r="A1243" s="740"/>
      <c r="B1243" s="42" t="s">
        <v>5579</v>
      </c>
      <c r="C1243" s="164"/>
      <c r="D1243" s="444"/>
      <c r="E1243" s="647"/>
      <c r="H1243" s="283"/>
      <c r="I1243" s="283"/>
      <c r="K1243" s="1171">
        <v>1000</v>
      </c>
      <c r="L1243" s="283"/>
      <c r="M1243" s="283">
        <f t="shared" si="103"/>
        <v>1000</v>
      </c>
      <c r="N1243" s="283"/>
      <c r="O1243" s="815"/>
      <c r="P1243" s="164"/>
      <c r="Q1243" s="998">
        <v>1000</v>
      </c>
      <c r="R1243" s="998">
        <v>1000</v>
      </c>
      <c r="S1243" s="877"/>
      <c r="T1243" s="933"/>
      <c r="U1243" s="933"/>
      <c r="X1243" s="16"/>
      <c r="Y1243" s="16"/>
    </row>
    <row r="1244" spans="1:25" s="42" customFormat="1" ht="15">
      <c r="A1244" s="740"/>
      <c r="B1244" s="1172" t="s">
        <v>5580</v>
      </c>
      <c r="C1244" s="164"/>
      <c r="D1244" s="444"/>
      <c r="E1244" s="647"/>
      <c r="H1244" s="283"/>
      <c r="I1244" s="283"/>
      <c r="K1244" s="1171">
        <v>1000</v>
      </c>
      <c r="L1244" s="283"/>
      <c r="M1244" s="283">
        <f t="shared" si="103"/>
        <v>1000</v>
      </c>
      <c r="N1244" s="283"/>
      <c r="O1244" s="815"/>
      <c r="P1244" s="164"/>
      <c r="Q1244" s="998">
        <v>1000</v>
      </c>
      <c r="R1244" s="998">
        <v>1000</v>
      </c>
      <c r="S1244" s="877"/>
      <c r="T1244" s="933"/>
      <c r="U1244" s="933"/>
      <c r="X1244" s="16"/>
      <c r="Y1244" s="16"/>
    </row>
    <row r="1245" spans="1:25" s="42" customFormat="1" ht="15">
      <c r="A1245" s="740"/>
      <c r="B1245" s="1172" t="s">
        <v>5581</v>
      </c>
      <c r="C1245" s="164"/>
      <c r="D1245" s="444"/>
      <c r="E1245" s="647"/>
      <c r="H1245" s="283"/>
      <c r="I1245" s="283"/>
      <c r="K1245" s="1171">
        <v>800</v>
      </c>
      <c r="L1245" s="283"/>
      <c r="M1245" s="283">
        <f t="shared" si="103"/>
        <v>800</v>
      </c>
      <c r="N1245" s="283"/>
      <c r="O1245" s="815"/>
      <c r="P1245" s="164"/>
      <c r="Q1245" s="998">
        <v>800</v>
      </c>
      <c r="R1245" s="998">
        <v>800</v>
      </c>
      <c r="S1245" s="877"/>
      <c r="T1245" s="933"/>
      <c r="U1245" s="933"/>
      <c r="X1245" s="16"/>
      <c r="Y1245" s="16"/>
    </row>
    <row r="1246" spans="1:25" s="42" customFormat="1" ht="15">
      <c r="A1246" s="740"/>
      <c r="B1246" s="1172" t="s">
        <v>5582</v>
      </c>
      <c r="C1246" s="164"/>
      <c r="D1246" s="444"/>
      <c r="E1246" s="647"/>
      <c r="H1246" s="283"/>
      <c r="I1246" s="283"/>
      <c r="K1246" s="1171">
        <v>600</v>
      </c>
      <c r="L1246" s="283"/>
      <c r="M1246" s="283">
        <f t="shared" si="103"/>
        <v>600</v>
      </c>
      <c r="N1246" s="283"/>
      <c r="O1246" s="815"/>
      <c r="P1246" s="164"/>
      <c r="Q1246" s="998">
        <v>600</v>
      </c>
      <c r="R1246" s="998">
        <v>600</v>
      </c>
      <c r="S1246" s="877"/>
      <c r="T1246" s="933"/>
      <c r="U1246" s="933"/>
      <c r="X1246" s="16"/>
      <c r="Y1246" s="16"/>
    </row>
    <row r="1247" spans="1:25" s="42" customFormat="1" ht="15">
      <c r="A1247" s="740"/>
      <c r="B1247" s="1172" t="s">
        <v>5583</v>
      </c>
      <c r="C1247" s="164"/>
      <c r="D1247" s="444"/>
      <c r="E1247" s="647"/>
      <c r="H1247" s="283"/>
      <c r="I1247" s="283"/>
      <c r="K1247" s="1171">
        <v>1000</v>
      </c>
      <c r="L1247" s="283"/>
      <c r="M1247" s="283">
        <f t="shared" si="103"/>
        <v>1000</v>
      </c>
      <c r="N1247" s="283"/>
      <c r="O1247" s="815"/>
      <c r="P1247" s="164"/>
      <c r="Q1247" s="998">
        <v>1000</v>
      </c>
      <c r="R1247" s="998">
        <v>1000</v>
      </c>
      <c r="S1247" s="877"/>
      <c r="T1247" s="933"/>
      <c r="U1247" s="933"/>
      <c r="X1247" s="16"/>
      <c r="Y1247" s="16"/>
    </row>
    <row r="1248" spans="1:25" s="42" customFormat="1" ht="15">
      <c r="A1248" s="740"/>
      <c r="B1248" s="1172" t="s">
        <v>5584</v>
      </c>
      <c r="C1248" s="164"/>
      <c r="D1248" s="444"/>
      <c r="E1248" s="647"/>
      <c r="H1248" s="283"/>
      <c r="I1248" s="283"/>
      <c r="K1248" s="1171">
        <v>1000</v>
      </c>
      <c r="L1248" s="283"/>
      <c r="M1248" s="283">
        <f t="shared" si="103"/>
        <v>1000</v>
      </c>
      <c r="N1248" s="283"/>
      <c r="O1248" s="815"/>
      <c r="P1248" s="164"/>
      <c r="Q1248" s="998">
        <v>1000</v>
      </c>
      <c r="R1248" s="998">
        <v>1000</v>
      </c>
      <c r="S1248" s="877"/>
      <c r="T1248" s="933"/>
      <c r="U1248" s="933"/>
      <c r="X1248" s="16"/>
      <c r="Y1248" s="16"/>
    </row>
    <row r="1249" spans="1:25" s="42" customFormat="1" ht="15">
      <c r="A1249" s="740"/>
      <c r="B1249" s="1172" t="s">
        <v>5585</v>
      </c>
      <c r="C1249" s="164"/>
      <c r="D1249" s="444"/>
      <c r="E1249" s="647"/>
      <c r="H1249" s="283"/>
      <c r="I1249" s="283"/>
      <c r="K1249" s="1171">
        <v>1000</v>
      </c>
      <c r="L1249" s="283"/>
      <c r="M1249" s="283">
        <f t="shared" si="103"/>
        <v>1000</v>
      </c>
      <c r="N1249" s="283"/>
      <c r="O1249" s="815"/>
      <c r="P1249" s="164"/>
      <c r="Q1249" s="998">
        <v>1000</v>
      </c>
      <c r="R1249" s="998">
        <v>1000</v>
      </c>
      <c r="S1249" s="877"/>
      <c r="T1249" s="933"/>
      <c r="U1249" s="933"/>
      <c r="X1249" s="16"/>
      <c r="Y1249" s="16"/>
    </row>
    <row r="1250" spans="1:25" s="42" customFormat="1" ht="15">
      <c r="A1250" s="740"/>
      <c r="B1250" s="1172" t="s">
        <v>5586</v>
      </c>
      <c r="C1250" s="164"/>
      <c r="D1250" s="444"/>
      <c r="E1250" s="647"/>
      <c r="H1250" s="283"/>
      <c r="I1250" s="283"/>
      <c r="K1250" s="1171">
        <v>1000</v>
      </c>
      <c r="L1250" s="283"/>
      <c r="M1250" s="283">
        <f t="shared" si="103"/>
        <v>1000</v>
      </c>
      <c r="N1250" s="283"/>
      <c r="O1250" s="815"/>
      <c r="P1250" s="164"/>
      <c r="Q1250" s="998">
        <v>1000</v>
      </c>
      <c r="R1250" s="998">
        <v>1000</v>
      </c>
      <c r="S1250" s="877"/>
      <c r="T1250" s="933"/>
      <c r="U1250" s="933"/>
      <c r="X1250" s="16"/>
      <c r="Y1250" s="16"/>
    </row>
    <row r="1251" spans="1:25" s="42" customFormat="1" ht="15">
      <c r="A1251" s="740"/>
      <c r="B1251" s="1172" t="s">
        <v>5587</v>
      </c>
      <c r="C1251" s="164"/>
      <c r="D1251" s="444"/>
      <c r="E1251" s="647"/>
      <c r="H1251" s="283"/>
      <c r="I1251" s="283"/>
      <c r="K1251" s="1171">
        <v>700</v>
      </c>
      <c r="L1251" s="283"/>
      <c r="M1251" s="283">
        <f t="shared" si="103"/>
        <v>700</v>
      </c>
      <c r="N1251" s="283"/>
      <c r="O1251" s="815"/>
      <c r="P1251" s="164"/>
      <c r="Q1251" s="998">
        <v>700</v>
      </c>
      <c r="R1251" s="998">
        <v>700</v>
      </c>
      <c r="S1251" s="877"/>
      <c r="T1251" s="933"/>
      <c r="U1251" s="933"/>
      <c r="X1251" s="16"/>
      <c r="Y1251" s="16"/>
    </row>
    <row r="1252" spans="1:25" s="42" customFormat="1" ht="15">
      <c r="A1252" s="740"/>
      <c r="B1252" s="1172" t="s">
        <v>5588</v>
      </c>
      <c r="C1252" s="164"/>
      <c r="D1252" s="444"/>
      <c r="E1252" s="647"/>
      <c r="H1252" s="283"/>
      <c r="I1252" s="283"/>
      <c r="K1252" s="1171">
        <v>700</v>
      </c>
      <c r="L1252" s="283"/>
      <c r="M1252" s="283">
        <f t="shared" si="103"/>
        <v>700</v>
      </c>
      <c r="N1252" s="283"/>
      <c r="O1252" s="815"/>
      <c r="P1252" s="164"/>
      <c r="Q1252" s="998">
        <v>700</v>
      </c>
      <c r="R1252" s="998">
        <v>700</v>
      </c>
      <c r="S1252" s="877"/>
      <c r="T1252" s="933"/>
      <c r="U1252" s="933"/>
      <c r="X1252" s="16"/>
      <c r="Y1252" s="16"/>
    </row>
    <row r="1253" spans="1:25" s="42" customFormat="1" ht="15">
      <c r="A1253" s="740"/>
      <c r="B1253" s="1172" t="s">
        <v>5589</v>
      </c>
      <c r="C1253" s="164"/>
      <c r="D1253" s="444"/>
      <c r="E1253" s="647"/>
      <c r="H1253" s="283"/>
      <c r="I1253" s="283"/>
      <c r="K1253" s="806"/>
      <c r="L1253" s="283"/>
      <c r="M1253" s="283">
        <f t="shared" si="103"/>
        <v>0</v>
      </c>
      <c r="N1253" s="283"/>
      <c r="O1253" s="815"/>
      <c r="P1253" s="164"/>
      <c r="Q1253" s="997"/>
      <c r="R1253" s="997"/>
      <c r="S1253" s="877"/>
      <c r="T1253" s="933"/>
      <c r="U1253" s="933"/>
      <c r="X1253" s="16"/>
      <c r="Y1253" s="16"/>
    </row>
    <row r="1254" spans="1:25" s="42" customFormat="1" ht="15">
      <c r="A1254" s="740"/>
      <c r="B1254" s="353" t="s">
        <v>5590</v>
      </c>
      <c r="C1254" s="164"/>
      <c r="D1254" s="444"/>
      <c r="E1254" s="647"/>
      <c r="H1254" s="283"/>
      <c r="I1254" s="283"/>
      <c r="K1254" s="1171">
        <v>700</v>
      </c>
      <c r="L1254" s="283"/>
      <c r="M1254" s="283">
        <f t="shared" si="103"/>
        <v>700</v>
      </c>
      <c r="N1254" s="283"/>
      <c r="O1254" s="815"/>
      <c r="P1254" s="164"/>
      <c r="Q1254" s="998">
        <v>700</v>
      </c>
      <c r="R1254" s="998">
        <v>700</v>
      </c>
      <c r="S1254" s="877"/>
      <c r="T1254" s="933"/>
      <c r="U1254" s="933"/>
      <c r="X1254" s="16"/>
      <c r="Y1254" s="16"/>
    </row>
    <row r="1255" spans="1:25" s="42" customFormat="1" ht="15">
      <c r="A1255" s="740"/>
      <c r="B1255" s="1172" t="s">
        <v>5591</v>
      </c>
      <c r="C1255" s="164"/>
      <c r="D1255" s="444"/>
      <c r="E1255" s="647"/>
      <c r="H1255" s="283"/>
      <c r="I1255" s="283"/>
      <c r="K1255" s="805">
        <v>5000</v>
      </c>
      <c r="L1255" s="283"/>
      <c r="M1255" s="283">
        <f t="shared" si="103"/>
        <v>5000</v>
      </c>
      <c r="N1255" s="283"/>
      <c r="O1255" s="815"/>
      <c r="P1255" s="164"/>
      <c r="Q1255" s="997">
        <v>5000</v>
      </c>
      <c r="R1255" s="997">
        <v>5000</v>
      </c>
      <c r="S1255" s="877"/>
      <c r="T1255" s="933"/>
      <c r="U1255" s="933"/>
      <c r="X1255" s="16"/>
      <c r="Y1255" s="16"/>
    </row>
    <row r="1256" spans="1:25" s="42" customFormat="1" ht="15">
      <c r="A1256" s="740"/>
      <c r="B1256" s="42" t="s">
        <v>5592</v>
      </c>
      <c r="C1256" s="164"/>
      <c r="D1256" s="444"/>
      <c r="E1256" s="647"/>
      <c r="H1256" s="283"/>
      <c r="I1256" s="283"/>
      <c r="K1256" s="805">
        <v>500</v>
      </c>
      <c r="L1256" s="283"/>
      <c r="M1256" s="283">
        <f t="shared" si="103"/>
        <v>500</v>
      </c>
      <c r="N1256" s="283"/>
      <c r="O1256" s="815"/>
      <c r="P1256" s="164"/>
      <c r="Q1256" s="997">
        <v>500</v>
      </c>
      <c r="R1256" s="997">
        <v>500</v>
      </c>
      <c r="S1256" s="877"/>
      <c r="T1256" s="933"/>
      <c r="U1256" s="933"/>
      <c r="X1256" s="16"/>
      <c r="Y1256" s="16"/>
    </row>
    <row r="1257" spans="1:25" s="42" customFormat="1" ht="15">
      <c r="A1257" s="740"/>
      <c r="B1257" s="42" t="s">
        <v>5593</v>
      </c>
      <c r="C1257" s="164"/>
      <c r="D1257" s="444"/>
      <c r="E1257" s="647"/>
      <c r="H1257" s="283"/>
      <c r="I1257" s="283"/>
      <c r="K1257" s="1171">
        <v>1000</v>
      </c>
      <c r="L1257" s="283"/>
      <c r="M1257" s="283">
        <f t="shared" si="103"/>
        <v>1000</v>
      </c>
      <c r="N1257" s="283"/>
      <c r="O1257" s="815"/>
      <c r="P1257" s="164"/>
      <c r="Q1257" s="998">
        <v>1000</v>
      </c>
      <c r="R1257" s="998">
        <v>1000</v>
      </c>
      <c r="S1257" s="877"/>
      <c r="T1257" s="933"/>
      <c r="U1257" s="933"/>
      <c r="X1257" s="16"/>
      <c r="Y1257" s="16"/>
    </row>
    <row r="1258" spans="1:25" s="42" customFormat="1" ht="15">
      <c r="A1258" s="740"/>
      <c r="B1258" s="1172" t="s">
        <v>5594</v>
      </c>
      <c r="C1258" s="164"/>
      <c r="D1258" s="444"/>
      <c r="E1258" s="647"/>
      <c r="H1258" s="283"/>
      <c r="I1258" s="283"/>
      <c r="K1258" s="1171">
        <v>2000</v>
      </c>
      <c r="L1258" s="283"/>
      <c r="M1258" s="283">
        <f t="shared" si="103"/>
        <v>2000</v>
      </c>
      <c r="N1258" s="283"/>
      <c r="O1258" s="815"/>
      <c r="P1258" s="164"/>
      <c r="Q1258" s="998">
        <v>2000</v>
      </c>
      <c r="R1258" s="998">
        <v>2000</v>
      </c>
      <c r="S1258" s="877"/>
      <c r="T1258" s="933"/>
      <c r="U1258" s="933"/>
      <c r="X1258" s="16"/>
      <c r="Y1258" s="16"/>
    </row>
    <row r="1259" spans="1:25" s="42" customFormat="1" ht="15">
      <c r="A1259" s="740"/>
      <c r="B1259" s="1172" t="s">
        <v>5595</v>
      </c>
      <c r="C1259" s="164"/>
      <c r="D1259" s="444"/>
      <c r="E1259" s="647"/>
      <c r="H1259" s="283"/>
      <c r="I1259" s="283"/>
      <c r="K1259" s="1171">
        <v>3000</v>
      </c>
      <c r="L1259" s="283"/>
      <c r="M1259" s="283">
        <f t="shared" si="103"/>
        <v>3000</v>
      </c>
      <c r="N1259" s="283"/>
      <c r="O1259" s="815"/>
      <c r="P1259" s="164"/>
      <c r="Q1259" s="998">
        <v>3000</v>
      </c>
      <c r="R1259" s="998">
        <v>3000</v>
      </c>
      <c r="S1259" s="877"/>
      <c r="T1259" s="933"/>
      <c r="U1259" s="933"/>
      <c r="X1259" s="16"/>
      <c r="Y1259" s="16"/>
    </row>
    <row r="1260" spans="1:25" s="42" customFormat="1" ht="15">
      <c r="A1260" s="740"/>
      <c r="B1260" s="1172" t="s">
        <v>5596</v>
      </c>
      <c r="C1260" s="164"/>
      <c r="D1260" s="444"/>
      <c r="E1260" s="647"/>
      <c r="H1260" s="283"/>
      <c r="I1260" s="283"/>
      <c r="K1260" s="1171">
        <v>1000</v>
      </c>
      <c r="L1260" s="283"/>
      <c r="M1260" s="283">
        <f t="shared" si="103"/>
        <v>1000</v>
      </c>
      <c r="N1260" s="283"/>
      <c r="O1260" s="815"/>
      <c r="P1260" s="164"/>
      <c r="Q1260" s="998">
        <v>1000</v>
      </c>
      <c r="R1260" s="998">
        <v>1000</v>
      </c>
      <c r="S1260" s="877"/>
      <c r="T1260" s="933"/>
      <c r="U1260" s="933"/>
      <c r="X1260" s="16"/>
      <c r="Y1260" s="16"/>
    </row>
    <row r="1261" spans="1:25" s="42" customFormat="1" ht="15">
      <c r="A1261" s="740"/>
      <c r="B1261" s="1172" t="s">
        <v>5597</v>
      </c>
      <c r="C1261" s="164"/>
      <c r="D1261" s="444"/>
      <c r="E1261" s="647"/>
      <c r="H1261" s="283"/>
      <c r="I1261" s="283"/>
      <c r="K1261" s="1171">
        <v>1000</v>
      </c>
      <c r="L1261" s="283"/>
      <c r="M1261" s="283">
        <f t="shared" si="103"/>
        <v>1000</v>
      </c>
      <c r="N1261" s="283"/>
      <c r="O1261" s="815"/>
      <c r="P1261" s="164"/>
      <c r="Q1261" s="998">
        <v>1000</v>
      </c>
      <c r="R1261" s="998">
        <v>1000</v>
      </c>
      <c r="S1261" s="877"/>
      <c r="T1261" s="933"/>
      <c r="U1261" s="933"/>
      <c r="X1261" s="16"/>
      <c r="Y1261" s="16"/>
    </row>
    <row r="1262" spans="1:25" s="42" customFormat="1" ht="15">
      <c r="A1262" s="740"/>
      <c r="B1262" s="1172" t="s">
        <v>5598</v>
      </c>
      <c r="C1262" s="164"/>
      <c r="D1262" s="444"/>
      <c r="E1262" s="647"/>
      <c r="H1262" s="283"/>
      <c r="I1262" s="283"/>
      <c r="K1262" s="1171">
        <v>800</v>
      </c>
      <c r="L1262" s="283"/>
      <c r="M1262" s="283">
        <f t="shared" si="103"/>
        <v>800</v>
      </c>
      <c r="N1262" s="283"/>
      <c r="O1262" s="815"/>
      <c r="P1262" s="164"/>
      <c r="Q1262" s="998">
        <v>800</v>
      </c>
      <c r="R1262" s="998">
        <v>800</v>
      </c>
      <c r="S1262" s="877"/>
      <c r="T1262" s="933"/>
      <c r="U1262" s="933"/>
      <c r="X1262" s="16"/>
      <c r="Y1262" s="16"/>
    </row>
    <row r="1263" spans="1:25" s="42" customFormat="1" ht="15">
      <c r="A1263" s="740"/>
      <c r="B1263" s="1172" t="s">
        <v>5599</v>
      </c>
      <c r="C1263" s="164"/>
      <c r="D1263" s="444"/>
      <c r="E1263" s="647"/>
      <c r="H1263" s="283"/>
      <c r="I1263" s="283"/>
      <c r="K1263" s="1171">
        <v>600</v>
      </c>
      <c r="L1263" s="283"/>
      <c r="M1263" s="283">
        <f t="shared" si="103"/>
        <v>600</v>
      </c>
      <c r="N1263" s="283"/>
      <c r="O1263" s="815"/>
      <c r="P1263" s="164"/>
      <c r="Q1263" s="998">
        <v>600</v>
      </c>
      <c r="R1263" s="998">
        <v>600</v>
      </c>
      <c r="S1263" s="877"/>
      <c r="T1263" s="933"/>
      <c r="U1263" s="933"/>
      <c r="X1263" s="16"/>
      <c r="Y1263" s="16"/>
    </row>
    <row r="1264" spans="1:25" s="42" customFormat="1" ht="15">
      <c r="A1264" s="740"/>
      <c r="B1264" s="1172" t="s">
        <v>5600</v>
      </c>
      <c r="C1264" s="164"/>
      <c r="D1264" s="444"/>
      <c r="E1264" s="647"/>
      <c r="H1264" s="283"/>
      <c r="I1264" s="283"/>
      <c r="K1264" s="1171">
        <v>1000</v>
      </c>
      <c r="L1264" s="283"/>
      <c r="M1264" s="283">
        <f t="shared" si="103"/>
        <v>1000</v>
      </c>
      <c r="N1264" s="283"/>
      <c r="O1264" s="815"/>
      <c r="P1264" s="164"/>
      <c r="Q1264" s="998">
        <v>1000</v>
      </c>
      <c r="R1264" s="998">
        <v>1000</v>
      </c>
      <c r="S1264" s="877"/>
      <c r="T1264" s="933"/>
      <c r="U1264" s="933"/>
      <c r="X1264" s="16"/>
      <c r="Y1264" s="16"/>
    </row>
    <row r="1265" spans="1:25" s="42" customFormat="1" ht="15">
      <c r="A1265" s="740"/>
      <c r="B1265" s="1172" t="s">
        <v>5601</v>
      </c>
      <c r="C1265" s="164"/>
      <c r="D1265" s="444"/>
      <c r="E1265" s="647"/>
      <c r="H1265" s="283"/>
      <c r="I1265" s="283"/>
      <c r="K1265" s="1171">
        <v>700</v>
      </c>
      <c r="L1265" s="283"/>
      <c r="M1265" s="283">
        <f t="shared" si="103"/>
        <v>700</v>
      </c>
      <c r="N1265" s="283"/>
      <c r="O1265" s="815"/>
      <c r="P1265" s="164"/>
      <c r="Q1265" s="998">
        <v>700</v>
      </c>
      <c r="R1265" s="998">
        <v>700</v>
      </c>
      <c r="S1265" s="877"/>
      <c r="T1265" s="933"/>
      <c r="U1265" s="933"/>
      <c r="X1265" s="16"/>
      <c r="Y1265" s="16"/>
    </row>
    <row r="1266" spans="1:25" s="42" customFormat="1" ht="15">
      <c r="A1266" s="740"/>
      <c r="B1266" s="1172" t="s">
        <v>5602</v>
      </c>
      <c r="C1266" s="164"/>
      <c r="D1266" s="444"/>
      <c r="E1266" s="647"/>
      <c r="H1266" s="283"/>
      <c r="I1266" s="283"/>
      <c r="K1266" s="1171">
        <v>1000</v>
      </c>
      <c r="L1266" s="283"/>
      <c r="M1266" s="283">
        <f t="shared" ref="M1266:M1302" si="104">SUM(K1266:L1266)</f>
        <v>1000</v>
      </c>
      <c r="N1266" s="283"/>
      <c r="O1266" s="815"/>
      <c r="P1266" s="164"/>
      <c r="Q1266" s="998">
        <v>1000</v>
      </c>
      <c r="R1266" s="998">
        <v>1000</v>
      </c>
      <c r="S1266" s="877"/>
      <c r="T1266" s="933"/>
      <c r="U1266" s="933"/>
      <c r="X1266" s="16"/>
      <c r="Y1266" s="16"/>
    </row>
    <row r="1267" spans="1:25" s="42" customFormat="1" ht="15">
      <c r="A1267" s="740"/>
      <c r="B1267" s="1172" t="s">
        <v>5603</v>
      </c>
      <c r="C1267" s="164"/>
      <c r="D1267" s="444"/>
      <c r="E1267" s="647"/>
      <c r="H1267" s="283"/>
      <c r="I1267" s="283"/>
      <c r="K1267" s="1171">
        <v>2000</v>
      </c>
      <c r="L1267" s="283"/>
      <c r="M1267" s="283">
        <f t="shared" si="104"/>
        <v>2000</v>
      </c>
      <c r="N1267" s="283"/>
      <c r="O1267" s="815"/>
      <c r="P1267" s="164"/>
      <c r="Q1267" s="998">
        <v>2000</v>
      </c>
      <c r="R1267" s="998">
        <v>2000</v>
      </c>
      <c r="S1267" s="877"/>
      <c r="T1267" s="933"/>
      <c r="U1267" s="933"/>
      <c r="X1267" s="16"/>
      <c r="Y1267" s="16"/>
    </row>
    <row r="1268" spans="1:25" s="42" customFormat="1" ht="15">
      <c r="A1268" s="740"/>
      <c r="B1268" s="1172" t="s">
        <v>5604</v>
      </c>
      <c r="C1268" s="164"/>
      <c r="D1268" s="444"/>
      <c r="E1268" s="647"/>
      <c r="H1268" s="283"/>
      <c r="I1268" s="283"/>
      <c r="K1268" s="1171">
        <v>2000</v>
      </c>
      <c r="L1268" s="283"/>
      <c r="M1268" s="283">
        <f t="shared" si="104"/>
        <v>2000</v>
      </c>
      <c r="N1268" s="283"/>
      <c r="O1268" s="815"/>
      <c r="P1268" s="164"/>
      <c r="Q1268" s="998">
        <v>2000</v>
      </c>
      <c r="R1268" s="998">
        <v>2000</v>
      </c>
      <c r="S1268" s="877"/>
      <c r="T1268" s="933"/>
      <c r="U1268" s="933"/>
      <c r="X1268" s="16"/>
      <c r="Y1268" s="16"/>
    </row>
    <row r="1269" spans="1:25" s="42" customFormat="1" ht="15">
      <c r="A1269" s="740"/>
      <c r="B1269" s="1172" t="s">
        <v>5605</v>
      </c>
      <c r="C1269" s="164"/>
      <c r="D1269" s="444"/>
      <c r="E1269" s="647"/>
      <c r="H1269" s="283"/>
      <c r="I1269" s="283"/>
      <c r="K1269" s="1171">
        <v>600</v>
      </c>
      <c r="L1269" s="283"/>
      <c r="M1269" s="283">
        <f t="shared" si="104"/>
        <v>600</v>
      </c>
      <c r="N1269" s="283"/>
      <c r="O1269" s="815"/>
      <c r="P1269" s="164"/>
      <c r="Q1269" s="998">
        <v>600</v>
      </c>
      <c r="R1269" s="998">
        <v>600</v>
      </c>
      <c r="S1269" s="877"/>
      <c r="T1269" s="933"/>
      <c r="U1269" s="933"/>
      <c r="X1269" s="16"/>
      <c r="Y1269" s="16"/>
    </row>
    <row r="1270" spans="1:25" s="42" customFormat="1" ht="15">
      <c r="A1270" s="740"/>
      <c r="B1270" s="1172" t="s">
        <v>5606</v>
      </c>
      <c r="C1270" s="164"/>
      <c r="D1270" s="444"/>
      <c r="E1270" s="647"/>
      <c r="H1270" s="283"/>
      <c r="I1270" s="283"/>
      <c r="K1270" s="805">
        <v>35000</v>
      </c>
      <c r="L1270" s="283"/>
      <c r="M1270" s="283">
        <f t="shared" si="104"/>
        <v>35000</v>
      </c>
      <c r="N1270" s="283"/>
      <c r="O1270" s="815"/>
      <c r="P1270" s="164"/>
      <c r="Q1270" s="997">
        <v>35000</v>
      </c>
      <c r="R1270" s="997">
        <v>35000</v>
      </c>
      <c r="S1270" s="877"/>
      <c r="T1270" s="933"/>
      <c r="U1270" s="933"/>
      <c r="X1270" s="16"/>
      <c r="Y1270" s="16"/>
    </row>
    <row r="1271" spans="1:25" s="42" customFormat="1" ht="15">
      <c r="A1271" s="740"/>
      <c r="B1271" s="42" t="s">
        <v>5607</v>
      </c>
      <c r="C1271" s="164"/>
      <c r="D1271" s="444"/>
      <c r="E1271" s="647"/>
      <c r="H1271" s="283"/>
      <c r="I1271" s="283"/>
      <c r="K1271" s="805">
        <v>15000</v>
      </c>
      <c r="L1271" s="283"/>
      <c r="M1271" s="283">
        <f t="shared" si="104"/>
        <v>15000</v>
      </c>
      <c r="N1271" s="283"/>
      <c r="O1271" s="815"/>
      <c r="P1271" s="164"/>
      <c r="Q1271" s="997">
        <v>15000</v>
      </c>
      <c r="R1271" s="997">
        <v>15000</v>
      </c>
      <c r="S1271" s="877"/>
      <c r="T1271" s="933"/>
      <c r="U1271" s="933"/>
      <c r="X1271" s="16"/>
      <c r="Y1271" s="16"/>
    </row>
    <row r="1272" spans="1:25" s="42" customFormat="1" ht="15">
      <c r="A1272" s="740"/>
      <c r="B1272" s="42" t="s">
        <v>5608</v>
      </c>
      <c r="C1272" s="164"/>
      <c r="D1272" s="444"/>
      <c r="E1272" s="647"/>
      <c r="H1272" s="283"/>
      <c r="I1272" s="283"/>
      <c r="K1272" s="806"/>
      <c r="L1272" s="283"/>
      <c r="M1272" s="283">
        <f t="shared" si="104"/>
        <v>0</v>
      </c>
      <c r="N1272" s="283"/>
      <c r="O1272" s="815"/>
      <c r="P1272" s="164"/>
      <c r="Q1272" s="997"/>
      <c r="R1272" s="997"/>
      <c r="S1272" s="877"/>
      <c r="T1272" s="933"/>
      <c r="U1272" s="933"/>
      <c r="X1272" s="16"/>
      <c r="Y1272" s="16"/>
    </row>
    <row r="1273" spans="1:25" s="42" customFormat="1" ht="15">
      <c r="A1273" s="740"/>
      <c r="B1273" s="353" t="s">
        <v>5532</v>
      </c>
      <c r="C1273" s="164"/>
      <c r="D1273" s="444"/>
      <c r="E1273" s="647"/>
      <c r="H1273" s="283"/>
      <c r="I1273" s="283"/>
      <c r="K1273" s="1171">
        <v>900</v>
      </c>
      <c r="L1273" s="283"/>
      <c r="M1273" s="283">
        <f t="shared" si="104"/>
        <v>900</v>
      </c>
      <c r="N1273" s="283"/>
      <c r="O1273" s="815"/>
      <c r="P1273" s="164"/>
      <c r="Q1273" s="998">
        <v>900</v>
      </c>
      <c r="R1273" s="998">
        <v>900</v>
      </c>
      <c r="S1273" s="877"/>
      <c r="T1273" s="933"/>
      <c r="U1273" s="933"/>
      <c r="X1273" s="16"/>
      <c r="Y1273" s="16"/>
    </row>
    <row r="1274" spans="1:25" s="42" customFormat="1" ht="15">
      <c r="A1274" s="740"/>
      <c r="B1274" s="1172" t="s">
        <v>5609</v>
      </c>
      <c r="C1274" s="164"/>
      <c r="D1274" s="444"/>
      <c r="E1274" s="647"/>
      <c r="H1274" s="283"/>
      <c r="I1274" s="283"/>
      <c r="K1274" s="805">
        <v>500</v>
      </c>
      <c r="L1274" s="283"/>
      <c r="M1274" s="283">
        <f t="shared" si="104"/>
        <v>500</v>
      </c>
      <c r="N1274" s="283"/>
      <c r="O1274" s="815"/>
      <c r="P1274" s="164"/>
      <c r="Q1274" s="997">
        <v>500</v>
      </c>
      <c r="R1274" s="997">
        <v>500</v>
      </c>
      <c r="S1274" s="877"/>
      <c r="T1274" s="933"/>
      <c r="U1274" s="933"/>
      <c r="X1274" s="16"/>
      <c r="Y1274" s="16"/>
    </row>
    <row r="1275" spans="1:25" s="42" customFormat="1" ht="15">
      <c r="A1275" s="740"/>
      <c r="B1275" s="1172" t="s">
        <v>5610</v>
      </c>
      <c r="C1275" s="164"/>
      <c r="D1275" s="444"/>
      <c r="E1275" s="647"/>
      <c r="H1275" s="283"/>
      <c r="I1275" s="283"/>
      <c r="K1275" s="805">
        <v>600</v>
      </c>
      <c r="L1275" s="283"/>
      <c r="M1275" s="283">
        <f t="shared" si="104"/>
        <v>600</v>
      </c>
      <c r="N1275" s="283"/>
      <c r="O1275" s="815"/>
      <c r="P1275" s="164"/>
      <c r="Q1275" s="997">
        <v>600</v>
      </c>
      <c r="R1275" s="997">
        <v>600</v>
      </c>
      <c r="S1275" s="877"/>
      <c r="T1275" s="933"/>
      <c r="U1275" s="933"/>
      <c r="X1275" s="16"/>
      <c r="Y1275" s="16"/>
    </row>
    <row r="1276" spans="1:25" s="42" customFormat="1" ht="15">
      <c r="A1276" s="740"/>
      <c r="B1276" s="42" t="s">
        <v>5611</v>
      </c>
      <c r="C1276" s="164"/>
      <c r="D1276" s="444"/>
      <c r="E1276" s="647"/>
      <c r="H1276" s="283"/>
      <c r="I1276" s="283"/>
      <c r="K1276" s="805">
        <v>600</v>
      </c>
      <c r="L1276" s="283"/>
      <c r="M1276" s="283">
        <f t="shared" si="104"/>
        <v>600</v>
      </c>
      <c r="N1276" s="283"/>
      <c r="O1276" s="815"/>
      <c r="P1276" s="164"/>
      <c r="Q1276" s="997">
        <v>600</v>
      </c>
      <c r="R1276" s="997">
        <v>600</v>
      </c>
      <c r="S1276" s="877"/>
      <c r="T1276" s="933"/>
      <c r="U1276" s="933"/>
      <c r="X1276" s="16"/>
      <c r="Y1276" s="16"/>
    </row>
    <row r="1277" spans="1:25" s="42" customFormat="1" ht="15">
      <c r="A1277" s="740"/>
      <c r="B1277" s="42" t="s">
        <v>5612</v>
      </c>
      <c r="C1277" s="164"/>
      <c r="D1277" s="444"/>
      <c r="E1277" s="647"/>
      <c r="H1277" s="283"/>
      <c r="I1277" s="283"/>
      <c r="K1277" s="805">
        <v>600</v>
      </c>
      <c r="L1277" s="283"/>
      <c r="M1277" s="283">
        <f t="shared" si="104"/>
        <v>600</v>
      </c>
      <c r="N1277" s="283"/>
      <c r="O1277" s="815"/>
      <c r="P1277" s="164"/>
      <c r="Q1277" s="997">
        <v>600</v>
      </c>
      <c r="R1277" s="997">
        <v>600</v>
      </c>
      <c r="S1277" s="877"/>
      <c r="T1277" s="933"/>
      <c r="U1277" s="933"/>
      <c r="X1277" s="16"/>
      <c r="Y1277" s="16"/>
    </row>
    <row r="1278" spans="1:25" s="42" customFormat="1" ht="15">
      <c r="A1278" s="740"/>
      <c r="B1278" s="42" t="s">
        <v>5613</v>
      </c>
      <c r="C1278" s="164"/>
      <c r="D1278" s="444"/>
      <c r="E1278" s="647"/>
      <c r="H1278" s="283"/>
      <c r="I1278" s="283"/>
      <c r="K1278" s="805">
        <v>500</v>
      </c>
      <c r="L1278" s="283"/>
      <c r="M1278" s="283">
        <f t="shared" si="104"/>
        <v>500</v>
      </c>
      <c r="N1278" s="283"/>
      <c r="O1278" s="815"/>
      <c r="P1278" s="164"/>
      <c r="Q1278" s="997">
        <v>500</v>
      </c>
      <c r="R1278" s="997">
        <v>500</v>
      </c>
      <c r="S1278" s="877"/>
      <c r="T1278" s="933"/>
      <c r="U1278" s="933"/>
      <c r="X1278" s="16"/>
      <c r="Y1278" s="16"/>
    </row>
    <row r="1279" spans="1:25" s="42" customFormat="1" ht="15">
      <c r="A1279" s="740"/>
      <c r="B1279" s="42" t="s">
        <v>5614</v>
      </c>
      <c r="C1279" s="164"/>
      <c r="D1279" s="444"/>
      <c r="E1279" s="647"/>
      <c r="H1279" s="283"/>
      <c r="I1279" s="283"/>
      <c r="K1279" s="805">
        <v>600</v>
      </c>
      <c r="L1279" s="283"/>
      <c r="M1279" s="283">
        <f t="shared" si="104"/>
        <v>600</v>
      </c>
      <c r="N1279" s="283"/>
      <c r="O1279" s="815"/>
      <c r="P1279" s="164"/>
      <c r="Q1279" s="997">
        <v>600</v>
      </c>
      <c r="R1279" s="997">
        <v>600</v>
      </c>
      <c r="S1279" s="877"/>
      <c r="T1279" s="933"/>
      <c r="U1279" s="933"/>
      <c r="X1279" s="16"/>
      <c r="Y1279" s="16"/>
    </row>
    <row r="1280" spans="1:25" s="42" customFormat="1" ht="15">
      <c r="A1280" s="740"/>
      <c r="B1280" s="42" t="s">
        <v>5615</v>
      </c>
      <c r="C1280" s="164"/>
      <c r="D1280" s="444"/>
      <c r="E1280" s="647"/>
      <c r="H1280" s="283"/>
      <c r="I1280" s="283"/>
      <c r="K1280" s="805">
        <v>500</v>
      </c>
      <c r="L1280" s="283"/>
      <c r="M1280" s="283">
        <f t="shared" si="104"/>
        <v>500</v>
      </c>
      <c r="N1280" s="283"/>
      <c r="O1280" s="815"/>
      <c r="P1280" s="164"/>
      <c r="Q1280" s="997">
        <v>500</v>
      </c>
      <c r="R1280" s="997">
        <v>500</v>
      </c>
      <c r="S1280" s="877"/>
      <c r="T1280" s="933"/>
      <c r="U1280" s="933"/>
      <c r="X1280" s="16"/>
      <c r="Y1280" s="16"/>
    </row>
    <row r="1281" spans="1:25" s="42" customFormat="1" ht="15">
      <c r="A1281" s="740"/>
      <c r="B1281" s="42" t="s">
        <v>5616</v>
      </c>
      <c r="C1281" s="164"/>
      <c r="D1281" s="444"/>
      <c r="E1281" s="647"/>
      <c r="H1281" s="283"/>
      <c r="I1281" s="283"/>
      <c r="K1281" s="805">
        <v>3000</v>
      </c>
      <c r="L1281" s="283"/>
      <c r="M1281" s="283">
        <f t="shared" si="104"/>
        <v>3000</v>
      </c>
      <c r="N1281" s="283"/>
      <c r="O1281" s="815"/>
      <c r="P1281" s="164"/>
      <c r="Q1281" s="997">
        <v>3000</v>
      </c>
      <c r="R1281" s="997">
        <v>3000</v>
      </c>
      <c r="S1281" s="877"/>
      <c r="T1281" s="933"/>
      <c r="U1281" s="933"/>
      <c r="X1281" s="16"/>
      <c r="Y1281" s="16"/>
    </row>
    <row r="1282" spans="1:25" s="42" customFormat="1" ht="15">
      <c r="A1282" s="740"/>
      <c r="B1282" s="42" t="s">
        <v>5617</v>
      </c>
      <c r="C1282" s="164"/>
      <c r="D1282" s="444"/>
      <c r="E1282" s="647"/>
      <c r="H1282" s="283"/>
      <c r="I1282" s="283"/>
      <c r="K1282" s="805">
        <v>700</v>
      </c>
      <c r="L1282" s="283"/>
      <c r="M1282" s="283">
        <f t="shared" si="104"/>
        <v>700</v>
      </c>
      <c r="N1282" s="283"/>
      <c r="O1282" s="815"/>
      <c r="P1282" s="164"/>
      <c r="Q1282" s="997">
        <v>700</v>
      </c>
      <c r="R1282" s="997">
        <v>700</v>
      </c>
      <c r="S1282" s="877"/>
      <c r="T1282" s="933"/>
      <c r="U1282" s="933"/>
      <c r="X1282" s="16"/>
      <c r="Y1282" s="16"/>
    </row>
    <row r="1283" spans="1:25" s="42" customFormat="1" ht="15">
      <c r="A1283" s="740"/>
      <c r="B1283" s="42" t="s">
        <v>5618</v>
      </c>
      <c r="C1283" s="164"/>
      <c r="D1283" s="444"/>
      <c r="E1283" s="647"/>
      <c r="H1283" s="283"/>
      <c r="I1283" s="283"/>
      <c r="K1283" s="805">
        <v>700</v>
      </c>
      <c r="L1283" s="283"/>
      <c r="M1283" s="283">
        <f t="shared" si="104"/>
        <v>700</v>
      </c>
      <c r="N1283" s="283"/>
      <c r="O1283" s="815"/>
      <c r="P1283" s="164"/>
      <c r="Q1283" s="997">
        <v>700</v>
      </c>
      <c r="R1283" s="997">
        <v>700</v>
      </c>
      <c r="S1283" s="877"/>
      <c r="T1283" s="933"/>
      <c r="U1283" s="933"/>
      <c r="X1283" s="16"/>
      <c r="Y1283" s="16"/>
    </row>
    <row r="1284" spans="1:25" s="42" customFormat="1" ht="15">
      <c r="A1284" s="740"/>
      <c r="B1284" s="42" t="s">
        <v>5619</v>
      </c>
      <c r="C1284" s="164"/>
      <c r="D1284" s="444"/>
      <c r="E1284" s="647"/>
      <c r="H1284" s="283"/>
      <c r="I1284" s="283"/>
      <c r="K1284" s="805">
        <v>700</v>
      </c>
      <c r="L1284" s="283"/>
      <c r="M1284" s="283">
        <f t="shared" si="104"/>
        <v>700</v>
      </c>
      <c r="N1284" s="283"/>
      <c r="O1284" s="815"/>
      <c r="P1284" s="164"/>
      <c r="Q1284" s="997">
        <v>700</v>
      </c>
      <c r="R1284" s="997">
        <v>700</v>
      </c>
      <c r="S1284" s="877"/>
      <c r="T1284" s="933"/>
      <c r="U1284" s="933"/>
      <c r="X1284" s="16"/>
      <c r="Y1284" s="16"/>
    </row>
    <row r="1285" spans="1:25" s="42" customFormat="1" ht="15">
      <c r="A1285" s="740"/>
      <c r="B1285" s="42" t="s">
        <v>5620</v>
      </c>
      <c r="C1285" s="164"/>
      <c r="D1285" s="444"/>
      <c r="E1285" s="647"/>
      <c r="H1285" s="283"/>
      <c r="I1285" s="283"/>
      <c r="K1285" s="805">
        <v>25000</v>
      </c>
      <c r="L1285" s="283"/>
      <c r="M1285" s="283">
        <f t="shared" si="104"/>
        <v>25000</v>
      </c>
      <c r="N1285" s="283"/>
      <c r="O1285" s="815"/>
      <c r="P1285" s="164"/>
      <c r="Q1285" s="997">
        <v>25000</v>
      </c>
      <c r="R1285" s="997">
        <v>25000</v>
      </c>
      <c r="S1285" s="877"/>
      <c r="T1285" s="933"/>
      <c r="U1285" s="933"/>
      <c r="X1285" s="16"/>
      <c r="Y1285" s="16"/>
    </row>
    <row r="1286" spans="1:25" s="42" customFormat="1" ht="15">
      <c r="A1286" s="740"/>
      <c r="B1286" s="42" t="s">
        <v>5621</v>
      </c>
      <c r="C1286" s="164"/>
      <c r="D1286" s="444"/>
      <c r="E1286" s="647"/>
      <c r="H1286" s="283"/>
      <c r="I1286" s="283"/>
      <c r="K1286" s="805">
        <v>20000</v>
      </c>
      <c r="L1286" s="283"/>
      <c r="M1286" s="283">
        <f t="shared" si="104"/>
        <v>20000</v>
      </c>
      <c r="N1286" s="283"/>
      <c r="O1286" s="815"/>
      <c r="P1286" s="164"/>
      <c r="Q1286" s="997">
        <v>20000</v>
      </c>
      <c r="R1286" s="997">
        <v>20000</v>
      </c>
      <c r="S1286" s="877"/>
      <c r="T1286" s="933"/>
      <c r="U1286" s="933"/>
      <c r="X1286" s="16"/>
      <c r="Y1286" s="16"/>
    </row>
    <row r="1287" spans="1:25" s="42" customFormat="1" ht="15">
      <c r="A1287" s="740"/>
      <c r="B1287" s="42" t="s">
        <v>5622</v>
      </c>
      <c r="C1287" s="164"/>
      <c r="D1287" s="444"/>
      <c r="E1287" s="647"/>
      <c r="H1287" s="283"/>
      <c r="I1287" s="283"/>
      <c r="K1287" s="806"/>
      <c r="L1287" s="283"/>
      <c r="M1287" s="283">
        <f t="shared" si="104"/>
        <v>0</v>
      </c>
      <c r="N1287" s="283"/>
      <c r="O1287" s="815"/>
      <c r="P1287" s="164"/>
      <c r="Q1287" s="997"/>
      <c r="R1287" s="997"/>
      <c r="S1287" s="877"/>
      <c r="T1287" s="933"/>
      <c r="U1287" s="933"/>
      <c r="X1287" s="16"/>
      <c r="Y1287" s="16"/>
    </row>
    <row r="1288" spans="1:25" s="42" customFormat="1" ht="15">
      <c r="A1288" s="740"/>
      <c r="B1288" s="353" t="s">
        <v>5623</v>
      </c>
      <c r="C1288" s="164"/>
      <c r="D1288" s="444"/>
      <c r="E1288" s="647"/>
      <c r="H1288" s="283"/>
      <c r="I1288" s="283"/>
      <c r="K1288" s="805">
        <v>30000</v>
      </c>
      <c r="L1288" s="283"/>
      <c r="M1288" s="283">
        <f t="shared" si="104"/>
        <v>30000</v>
      </c>
      <c r="N1288" s="283"/>
      <c r="O1288" s="815"/>
      <c r="P1288" s="164"/>
      <c r="Q1288" s="997">
        <v>30000</v>
      </c>
      <c r="R1288" s="997">
        <v>30000</v>
      </c>
      <c r="S1288" s="877"/>
      <c r="T1288" s="933"/>
      <c r="U1288" s="933"/>
      <c r="X1288" s="16"/>
      <c r="Y1288" s="16"/>
    </row>
    <row r="1289" spans="1:25" s="42" customFormat="1" ht="15">
      <c r="A1289" s="740"/>
      <c r="B1289" s="42" t="s">
        <v>5624</v>
      </c>
      <c r="C1289" s="164"/>
      <c r="D1289" s="444"/>
      <c r="E1289" s="647"/>
      <c r="H1289" s="283"/>
      <c r="I1289" s="283"/>
      <c r="K1289" s="1171">
        <v>400</v>
      </c>
      <c r="L1289" s="283"/>
      <c r="M1289" s="283">
        <f t="shared" si="104"/>
        <v>400</v>
      </c>
      <c r="N1289" s="283"/>
      <c r="O1289" s="815"/>
      <c r="P1289" s="164"/>
      <c r="Q1289" s="998">
        <v>400</v>
      </c>
      <c r="R1289" s="998">
        <v>400</v>
      </c>
      <c r="S1289" s="877"/>
      <c r="T1289" s="933"/>
      <c r="U1289" s="933"/>
      <c r="X1289" s="16"/>
      <c r="Y1289" s="16"/>
    </row>
    <row r="1290" spans="1:25" s="42" customFormat="1" ht="15">
      <c r="A1290" s="740"/>
      <c r="B1290" s="1172" t="s">
        <v>5625</v>
      </c>
      <c r="C1290" s="164"/>
      <c r="D1290" s="444"/>
      <c r="E1290" s="647"/>
      <c r="H1290" s="283"/>
      <c r="I1290" s="283"/>
      <c r="K1290" s="805">
        <v>1000</v>
      </c>
      <c r="L1290" s="283"/>
      <c r="M1290" s="283">
        <f t="shared" si="104"/>
        <v>1000</v>
      </c>
      <c r="N1290" s="283"/>
      <c r="O1290" s="815"/>
      <c r="P1290" s="164"/>
      <c r="Q1290" s="997">
        <v>1000</v>
      </c>
      <c r="R1290" s="997">
        <v>1000</v>
      </c>
      <c r="S1290" s="877"/>
      <c r="T1290" s="933"/>
      <c r="U1290" s="933"/>
      <c r="X1290" s="16"/>
      <c r="Y1290" s="16"/>
    </row>
    <row r="1291" spans="1:25" s="42" customFormat="1" ht="15">
      <c r="A1291" s="740"/>
      <c r="B1291" s="1172" t="s">
        <v>5626</v>
      </c>
      <c r="C1291" s="164"/>
      <c r="D1291" s="444"/>
      <c r="E1291" s="647"/>
      <c r="H1291" s="283"/>
      <c r="I1291" s="283"/>
      <c r="K1291" s="805">
        <v>600</v>
      </c>
      <c r="L1291" s="283"/>
      <c r="M1291" s="283">
        <f t="shared" si="104"/>
        <v>600</v>
      </c>
      <c r="N1291" s="283"/>
      <c r="O1291" s="815"/>
      <c r="P1291" s="164"/>
      <c r="Q1291" s="997">
        <v>600</v>
      </c>
      <c r="R1291" s="997">
        <v>600</v>
      </c>
      <c r="S1291" s="877"/>
      <c r="T1291" s="933"/>
      <c r="U1291" s="933"/>
      <c r="X1291" s="16"/>
      <c r="Y1291" s="16"/>
    </row>
    <row r="1292" spans="1:25" s="42" customFormat="1" ht="15">
      <c r="A1292" s="740"/>
      <c r="B1292" s="42" t="s">
        <v>5627</v>
      </c>
      <c r="C1292" s="164"/>
      <c r="D1292" s="444"/>
      <c r="E1292" s="647"/>
      <c r="H1292" s="283"/>
      <c r="I1292" s="283"/>
      <c r="K1292" s="805">
        <v>600</v>
      </c>
      <c r="L1292" s="283"/>
      <c r="M1292" s="283">
        <f t="shared" si="104"/>
        <v>600</v>
      </c>
      <c r="N1292" s="283"/>
      <c r="O1292" s="815"/>
      <c r="P1292" s="164"/>
      <c r="Q1292" s="997">
        <v>600</v>
      </c>
      <c r="R1292" s="997">
        <v>600</v>
      </c>
      <c r="S1292" s="877"/>
      <c r="T1292" s="933"/>
      <c r="U1292" s="933"/>
      <c r="X1292" s="16"/>
      <c r="Y1292" s="16"/>
    </row>
    <row r="1293" spans="1:25" s="42" customFormat="1" ht="15">
      <c r="A1293" s="740"/>
      <c r="B1293" s="42" t="s">
        <v>5628</v>
      </c>
      <c r="C1293" s="164"/>
      <c r="D1293" s="444"/>
      <c r="E1293" s="647"/>
      <c r="H1293" s="283"/>
      <c r="I1293" s="283"/>
      <c r="K1293" s="805">
        <v>1000</v>
      </c>
      <c r="L1293" s="283"/>
      <c r="M1293" s="283">
        <f t="shared" si="104"/>
        <v>1000</v>
      </c>
      <c r="N1293" s="283"/>
      <c r="O1293" s="815"/>
      <c r="P1293" s="164"/>
      <c r="Q1293" s="997">
        <v>1000</v>
      </c>
      <c r="R1293" s="997">
        <v>1000</v>
      </c>
      <c r="S1293" s="877"/>
      <c r="T1293" s="933"/>
      <c r="U1293" s="933"/>
      <c r="X1293" s="16"/>
      <c r="Y1293" s="16"/>
    </row>
    <row r="1294" spans="1:25" s="42" customFormat="1" ht="15">
      <c r="A1294" s="740"/>
      <c r="B1294" s="42" t="s">
        <v>5629</v>
      </c>
      <c r="C1294" s="164"/>
      <c r="D1294" s="444"/>
      <c r="E1294" s="647"/>
      <c r="H1294" s="283"/>
      <c r="I1294" s="283"/>
      <c r="K1294" s="805">
        <v>600</v>
      </c>
      <c r="L1294" s="283"/>
      <c r="M1294" s="283">
        <f t="shared" si="104"/>
        <v>600</v>
      </c>
      <c r="N1294" s="283"/>
      <c r="O1294" s="815"/>
      <c r="P1294" s="164"/>
      <c r="Q1294" s="997">
        <v>600</v>
      </c>
      <c r="R1294" s="997">
        <v>600</v>
      </c>
      <c r="S1294" s="877"/>
      <c r="T1294" s="933"/>
      <c r="U1294" s="933"/>
      <c r="X1294" s="16"/>
      <c r="Y1294" s="16"/>
    </row>
    <row r="1295" spans="1:25" s="42" customFormat="1" ht="15">
      <c r="A1295" s="740"/>
      <c r="B1295" s="42" t="s">
        <v>5630</v>
      </c>
      <c r="C1295" s="164"/>
      <c r="D1295" s="444"/>
      <c r="E1295" s="647"/>
      <c r="H1295" s="283"/>
      <c r="I1295" s="283"/>
      <c r="K1295" s="805">
        <v>500</v>
      </c>
      <c r="L1295" s="283"/>
      <c r="M1295" s="283">
        <f t="shared" si="104"/>
        <v>500</v>
      </c>
      <c r="N1295" s="283"/>
      <c r="O1295" s="815"/>
      <c r="P1295" s="164"/>
      <c r="Q1295" s="997">
        <v>500</v>
      </c>
      <c r="R1295" s="997">
        <v>500</v>
      </c>
      <c r="S1295" s="877"/>
      <c r="T1295" s="933"/>
      <c r="U1295" s="933"/>
      <c r="X1295" s="16"/>
      <c r="Y1295" s="16"/>
    </row>
    <row r="1296" spans="1:25" s="42" customFormat="1" ht="15">
      <c r="A1296" s="740"/>
      <c r="B1296" s="42" t="s">
        <v>5631</v>
      </c>
      <c r="C1296" s="164"/>
      <c r="D1296" s="444"/>
      <c r="E1296" s="647"/>
      <c r="H1296" s="283"/>
      <c r="I1296" s="283"/>
      <c r="K1296" s="805">
        <v>800</v>
      </c>
      <c r="L1296" s="283"/>
      <c r="M1296" s="283">
        <f t="shared" si="104"/>
        <v>800</v>
      </c>
      <c r="N1296" s="283"/>
      <c r="O1296" s="815"/>
      <c r="P1296" s="164"/>
      <c r="Q1296" s="997">
        <v>800</v>
      </c>
      <c r="R1296" s="997">
        <v>800</v>
      </c>
      <c r="S1296" s="877"/>
      <c r="T1296" s="933"/>
      <c r="U1296" s="933"/>
      <c r="X1296" s="16"/>
      <c r="Y1296" s="16"/>
    </row>
    <row r="1297" spans="1:25" s="42" customFormat="1" ht="15">
      <c r="A1297" s="740"/>
      <c r="B1297" s="42" t="s">
        <v>5632</v>
      </c>
      <c r="C1297" s="164"/>
      <c r="D1297" s="444"/>
      <c r="E1297" s="647"/>
      <c r="H1297" s="283"/>
      <c r="I1297" s="283"/>
      <c r="K1297" s="805">
        <v>700</v>
      </c>
      <c r="L1297" s="283"/>
      <c r="M1297" s="283">
        <f t="shared" si="104"/>
        <v>700</v>
      </c>
      <c r="N1297" s="283"/>
      <c r="O1297" s="815"/>
      <c r="P1297" s="164"/>
      <c r="Q1297" s="997">
        <v>700</v>
      </c>
      <c r="R1297" s="997">
        <v>700</v>
      </c>
      <c r="S1297" s="877"/>
      <c r="T1297" s="933"/>
      <c r="U1297" s="933"/>
      <c r="X1297" s="16"/>
      <c r="Y1297" s="16"/>
    </row>
    <row r="1298" spans="1:25" s="42" customFormat="1" ht="15">
      <c r="A1298" s="740"/>
      <c r="B1298" s="42" t="s">
        <v>5633</v>
      </c>
      <c r="C1298" s="164"/>
      <c r="D1298" s="444"/>
      <c r="E1298" s="647"/>
      <c r="H1298" s="283"/>
      <c r="I1298" s="283"/>
      <c r="K1298" s="805">
        <v>20000</v>
      </c>
      <c r="L1298" s="283"/>
      <c r="M1298" s="283">
        <f t="shared" si="104"/>
        <v>20000</v>
      </c>
      <c r="N1298" s="283"/>
      <c r="O1298" s="815"/>
      <c r="P1298" s="164"/>
      <c r="Q1298" s="997">
        <v>20000</v>
      </c>
      <c r="R1298" s="997">
        <v>20000</v>
      </c>
      <c r="S1298" s="877"/>
      <c r="T1298" s="933"/>
      <c r="U1298" s="933"/>
      <c r="X1298" s="16"/>
      <c r="Y1298" s="16"/>
    </row>
    <row r="1299" spans="1:25" s="42" customFormat="1" ht="15">
      <c r="A1299" s="740"/>
      <c r="B1299" s="42" t="s">
        <v>5634</v>
      </c>
      <c r="C1299" s="164"/>
      <c r="D1299" s="444"/>
      <c r="E1299" s="647"/>
      <c r="H1299" s="283"/>
      <c r="I1299" s="283"/>
      <c r="K1299" s="805"/>
      <c r="L1299" s="283"/>
      <c r="M1299" s="283">
        <f t="shared" si="104"/>
        <v>0</v>
      </c>
      <c r="N1299" s="283"/>
      <c r="O1299" s="815"/>
      <c r="P1299" s="164"/>
      <c r="Q1299" s="997"/>
      <c r="R1299" s="997"/>
      <c r="S1299" s="877"/>
      <c r="T1299" s="933"/>
      <c r="U1299" s="933"/>
      <c r="X1299" s="16"/>
      <c r="Y1299" s="16"/>
    </row>
    <row r="1300" spans="1:25" s="42" customFormat="1" ht="15">
      <c r="A1300" s="740"/>
      <c r="B1300" s="353" t="s">
        <v>5635</v>
      </c>
      <c r="C1300" s="164"/>
      <c r="D1300" s="444"/>
      <c r="E1300" s="647"/>
      <c r="H1300" s="283"/>
      <c r="I1300" s="283"/>
      <c r="K1300" s="805">
        <v>30000</v>
      </c>
      <c r="L1300" s="283"/>
      <c r="M1300" s="283">
        <f t="shared" si="104"/>
        <v>30000</v>
      </c>
      <c r="N1300" s="283"/>
      <c r="O1300" s="815"/>
      <c r="P1300" s="164"/>
      <c r="Q1300" s="997">
        <v>30000</v>
      </c>
      <c r="R1300" s="997">
        <v>30000</v>
      </c>
      <c r="S1300" s="877"/>
      <c r="T1300" s="933"/>
      <c r="U1300" s="933"/>
      <c r="X1300" s="16"/>
      <c r="Y1300" s="16"/>
    </row>
    <row r="1301" spans="1:25" s="42" customFormat="1" ht="15">
      <c r="A1301" s="740"/>
      <c r="B1301" s="42" t="s">
        <v>5636</v>
      </c>
      <c r="C1301" s="164"/>
      <c r="D1301" s="444"/>
      <c r="E1301" s="647"/>
      <c r="H1301" s="283"/>
      <c r="I1301" s="283"/>
      <c r="K1301" s="1171">
        <v>600</v>
      </c>
      <c r="L1301" s="283"/>
      <c r="M1301" s="283">
        <f t="shared" si="104"/>
        <v>600</v>
      </c>
      <c r="N1301" s="283"/>
      <c r="O1301" s="815"/>
      <c r="P1301" s="164"/>
      <c r="Q1301" s="998">
        <v>600</v>
      </c>
      <c r="R1301" s="998">
        <v>600</v>
      </c>
      <c r="S1301" s="877"/>
      <c r="T1301" s="933"/>
      <c r="U1301" s="933"/>
      <c r="X1301" s="16"/>
      <c r="Y1301" s="16"/>
    </row>
    <row r="1302" spans="1:25" s="42" customFormat="1" ht="15">
      <c r="A1302" s="740"/>
      <c r="B1302" s="1172" t="s">
        <v>5637</v>
      </c>
      <c r="C1302" s="164"/>
      <c r="D1302" s="444"/>
      <c r="E1302" s="647"/>
      <c r="H1302" s="283"/>
      <c r="I1302" s="283"/>
      <c r="K1302" s="805">
        <v>800</v>
      </c>
      <c r="L1302" s="283"/>
      <c r="M1302" s="283">
        <f t="shared" si="104"/>
        <v>800</v>
      </c>
      <c r="N1302" s="283"/>
      <c r="O1302" s="815"/>
      <c r="P1302" s="164"/>
      <c r="Q1302" s="997">
        <v>800</v>
      </c>
      <c r="R1302" s="997">
        <v>800</v>
      </c>
      <c r="S1302" s="877"/>
      <c r="T1302" s="933"/>
      <c r="U1302" s="933"/>
      <c r="X1302" s="16"/>
      <c r="Y1302" s="16"/>
    </row>
    <row r="1303" spans="1:25" s="42" customFormat="1" ht="15">
      <c r="A1303" s="740"/>
      <c r="B1303" s="1172" t="s">
        <v>5638</v>
      </c>
      <c r="C1303" s="164"/>
      <c r="D1303" s="444"/>
      <c r="E1303" s="647"/>
      <c r="H1303" s="283"/>
      <c r="I1303" s="283"/>
      <c r="K1303" s="283"/>
      <c r="L1303" s="283"/>
      <c r="M1303" s="283"/>
      <c r="N1303" s="283"/>
      <c r="O1303" s="815"/>
      <c r="P1303" s="164"/>
      <c r="Q1303" s="351"/>
      <c r="R1303" s="351"/>
      <c r="S1303" s="877"/>
      <c r="T1303" s="933"/>
      <c r="U1303" s="933"/>
      <c r="X1303" s="16"/>
      <c r="Y1303" s="16"/>
    </row>
    <row r="1304" spans="1:25" s="42" customFormat="1" ht="33.75" customHeight="1">
      <c r="A1304" s="740"/>
      <c r="B1304" s="101" t="s">
        <v>1594</v>
      </c>
      <c r="C1304" s="108" t="s">
        <v>2417</v>
      </c>
      <c r="D1304" s="527">
        <v>40899</v>
      </c>
      <c r="E1304" s="647"/>
      <c r="F1304" s="525" t="s">
        <v>315</v>
      </c>
      <c r="G1304" s="525"/>
      <c r="H1304" s="21"/>
      <c r="I1304" s="21"/>
      <c r="J1304" s="525"/>
      <c r="K1304" s="21">
        <v>203000</v>
      </c>
      <c r="L1304" s="21"/>
      <c r="M1304" s="21">
        <f t="shared" si="98"/>
        <v>203000</v>
      </c>
      <c r="N1304" s="21"/>
      <c r="O1304" s="58"/>
      <c r="P1304" s="108" t="s">
        <v>104</v>
      </c>
      <c r="Q1304" s="93">
        <v>203000</v>
      </c>
      <c r="R1304" s="93">
        <v>203000</v>
      </c>
      <c r="S1304" s="1323" t="s">
        <v>2252</v>
      </c>
      <c r="T1304" s="1323"/>
      <c r="U1304" s="1323"/>
      <c r="V1304" s="525"/>
      <c r="W1304" s="525" t="s">
        <v>2002</v>
      </c>
      <c r="X1304" s="16">
        <f t="shared" si="97"/>
        <v>203000</v>
      </c>
      <c r="Y1304" s="16">
        <f>X1304-M1304</f>
        <v>0</v>
      </c>
    </row>
    <row r="1305" spans="1:25" s="42" customFormat="1" ht="15">
      <c r="A1305" s="740"/>
      <c r="B1305" s="446" t="s">
        <v>1616</v>
      </c>
      <c r="C1305" s="164" t="s">
        <v>2418</v>
      </c>
      <c r="D1305" s="444">
        <v>40899</v>
      </c>
      <c r="E1305" s="647"/>
      <c r="F1305" s="42" t="s">
        <v>1960</v>
      </c>
      <c r="H1305" s="283"/>
      <c r="I1305" s="283"/>
      <c r="K1305" s="283">
        <v>140500</v>
      </c>
      <c r="L1305" s="283"/>
      <c r="M1305" s="283">
        <f t="shared" si="98"/>
        <v>140500</v>
      </c>
      <c r="N1305" s="283"/>
      <c r="O1305" s="815"/>
      <c r="P1305" s="164" t="s">
        <v>104</v>
      </c>
      <c r="Q1305" s="541">
        <f>SUM(Q1306:Q1356)</f>
        <v>140500</v>
      </c>
      <c r="R1305" s="541">
        <f>SUM(R1306:R1356)</f>
        <v>140370</v>
      </c>
      <c r="S1305" s="933"/>
      <c r="T1305" s="933"/>
      <c r="U1305" s="933"/>
      <c r="W1305" s="42" t="s">
        <v>2002</v>
      </c>
      <c r="X1305" s="16">
        <f t="shared" si="97"/>
        <v>140500</v>
      </c>
      <c r="Y1305" s="16">
        <f>X1305-M1305</f>
        <v>0</v>
      </c>
    </row>
    <row r="1306" spans="1:25" s="42" customFormat="1" ht="15">
      <c r="A1306" s="740"/>
      <c r="B1306" s="530" t="s">
        <v>2419</v>
      </c>
      <c r="C1306" s="164"/>
      <c r="D1306" s="444"/>
      <c r="E1306" s="329"/>
      <c r="H1306" s="283"/>
      <c r="I1306" s="283"/>
      <c r="K1306" s="283"/>
      <c r="L1306" s="283"/>
      <c r="M1306" s="283"/>
      <c r="N1306" s="283"/>
      <c r="O1306" s="815"/>
      <c r="P1306" s="164"/>
      <c r="Q1306" s="524">
        <v>1000</v>
      </c>
      <c r="R1306" s="351">
        <v>909</v>
      </c>
      <c r="S1306" s="933" t="s">
        <v>4763</v>
      </c>
      <c r="T1306" s="933"/>
      <c r="U1306" s="933"/>
      <c r="X1306" s="16"/>
      <c r="Y1306" s="16"/>
    </row>
    <row r="1307" spans="1:25" s="42" customFormat="1" ht="15">
      <c r="A1307" s="740"/>
      <c r="B1307" s="530" t="s">
        <v>2420</v>
      </c>
      <c r="C1307" s="164"/>
      <c r="D1307" s="444"/>
      <c r="E1307" s="329"/>
      <c r="H1307" s="283"/>
      <c r="I1307" s="283"/>
      <c r="K1307" s="283"/>
      <c r="L1307" s="283"/>
      <c r="M1307" s="283"/>
      <c r="N1307" s="283"/>
      <c r="O1307" s="815"/>
      <c r="P1307" s="164"/>
      <c r="Q1307" s="524">
        <v>600</v>
      </c>
      <c r="R1307" s="351">
        <v>600</v>
      </c>
      <c r="S1307" s="933"/>
      <c r="T1307" s="933"/>
      <c r="U1307" s="933"/>
      <c r="X1307" s="16"/>
      <c r="Y1307" s="16"/>
    </row>
    <row r="1308" spans="1:25" s="42" customFormat="1" ht="15">
      <c r="A1308" s="740"/>
      <c r="B1308" s="530" t="s">
        <v>2421</v>
      </c>
      <c r="C1308" s="164"/>
      <c r="D1308" s="444"/>
      <c r="E1308" s="329"/>
      <c r="H1308" s="283"/>
      <c r="I1308" s="283"/>
      <c r="K1308" s="283"/>
      <c r="L1308" s="283"/>
      <c r="M1308" s="283"/>
      <c r="N1308" s="283"/>
      <c r="O1308" s="815"/>
      <c r="P1308" s="164"/>
      <c r="Q1308" s="524">
        <v>700</v>
      </c>
      <c r="R1308" s="351">
        <v>700</v>
      </c>
      <c r="S1308" s="933"/>
      <c r="T1308" s="933"/>
      <c r="U1308" s="933"/>
      <c r="X1308" s="16"/>
      <c r="Y1308" s="16"/>
    </row>
    <row r="1309" spans="1:25" s="42" customFormat="1" ht="18" customHeight="1">
      <c r="A1309" s="740"/>
      <c r="B1309" s="918" t="s">
        <v>2422</v>
      </c>
      <c r="C1309" s="164"/>
      <c r="D1309" s="444"/>
      <c r="E1309" s="329"/>
      <c r="H1309" s="283"/>
      <c r="I1309" s="283"/>
      <c r="K1309" s="283"/>
      <c r="L1309" s="283"/>
      <c r="M1309" s="283"/>
      <c r="N1309" s="283"/>
      <c r="O1309" s="815"/>
      <c r="P1309" s="164"/>
      <c r="Q1309" s="508">
        <v>600</v>
      </c>
      <c r="R1309" s="93">
        <v>600</v>
      </c>
      <c r="S1309" s="1326" t="s">
        <v>4764</v>
      </c>
      <c r="T1309" s="1326"/>
      <c r="U1309" s="1326"/>
      <c r="X1309" s="16"/>
      <c r="Y1309" s="16"/>
    </row>
    <row r="1310" spans="1:25" s="42" customFormat="1" ht="15">
      <c r="A1310" s="740"/>
      <c r="B1310" s="530" t="s">
        <v>2423</v>
      </c>
      <c r="C1310" s="164"/>
      <c r="D1310" s="444"/>
      <c r="E1310" s="329"/>
      <c r="H1310" s="283"/>
      <c r="I1310" s="283"/>
      <c r="K1310" s="283"/>
      <c r="L1310" s="283"/>
      <c r="M1310" s="283"/>
      <c r="N1310" s="283"/>
      <c r="O1310" s="815"/>
      <c r="P1310" s="164"/>
      <c r="Q1310" s="524">
        <v>1000</v>
      </c>
      <c r="R1310" s="351">
        <v>1000</v>
      </c>
      <c r="S1310" s="933"/>
      <c r="T1310" s="933"/>
      <c r="U1310" s="933"/>
      <c r="X1310" s="16"/>
      <c r="Y1310" s="16"/>
    </row>
    <row r="1311" spans="1:25" s="42" customFormat="1" ht="15">
      <c r="A1311" s="740"/>
      <c r="B1311" s="530" t="s">
        <v>1861</v>
      </c>
      <c r="C1311" s="164"/>
      <c r="D1311" s="444"/>
      <c r="E1311" s="329"/>
      <c r="H1311" s="283"/>
      <c r="I1311" s="283"/>
      <c r="K1311" s="283"/>
      <c r="L1311" s="283"/>
      <c r="M1311" s="283"/>
      <c r="N1311" s="283"/>
      <c r="O1311" s="815"/>
      <c r="P1311" s="164"/>
      <c r="Q1311" s="524">
        <v>1000</v>
      </c>
      <c r="R1311" s="351">
        <v>1000</v>
      </c>
      <c r="S1311" s="933"/>
      <c r="T1311" s="933"/>
      <c r="U1311" s="933"/>
      <c r="X1311" s="16"/>
      <c r="Y1311" s="16"/>
    </row>
    <row r="1312" spans="1:25" s="42" customFormat="1" ht="35.25" customHeight="1">
      <c r="A1312" s="740"/>
      <c r="B1312" s="918" t="s">
        <v>2424</v>
      </c>
      <c r="C1312" s="164"/>
      <c r="D1312" s="444"/>
      <c r="E1312" s="329"/>
      <c r="H1312" s="283"/>
      <c r="I1312" s="283"/>
      <c r="K1312" s="283"/>
      <c r="L1312" s="283"/>
      <c r="M1312" s="283"/>
      <c r="N1312" s="283"/>
      <c r="O1312" s="815"/>
      <c r="P1312" s="164"/>
      <c r="Q1312" s="508">
        <v>800</v>
      </c>
      <c r="R1312" s="93">
        <v>797</v>
      </c>
      <c r="S1312" s="1326" t="s">
        <v>4765</v>
      </c>
      <c r="T1312" s="1326"/>
      <c r="U1312" s="1326"/>
      <c r="X1312" s="16"/>
      <c r="Y1312" s="16"/>
    </row>
    <row r="1313" spans="1:25" s="42" customFormat="1" ht="15">
      <c r="A1313" s="740"/>
      <c r="B1313" s="530" t="s">
        <v>1835</v>
      </c>
      <c r="C1313" s="164"/>
      <c r="D1313" s="444"/>
      <c r="E1313" s="329"/>
      <c r="H1313" s="283"/>
      <c r="I1313" s="283"/>
      <c r="K1313" s="283"/>
      <c r="L1313" s="283"/>
      <c r="M1313" s="283"/>
      <c r="N1313" s="283"/>
      <c r="O1313" s="815"/>
      <c r="P1313" s="164"/>
      <c r="Q1313" s="524">
        <v>700</v>
      </c>
      <c r="R1313" s="351">
        <v>700</v>
      </c>
      <c r="S1313" s="933"/>
      <c r="T1313" s="933"/>
      <c r="U1313" s="933"/>
      <c r="X1313" s="16"/>
      <c r="Y1313" s="16"/>
    </row>
    <row r="1314" spans="1:25" s="42" customFormat="1" ht="15">
      <c r="A1314" s="740"/>
      <c r="B1314" s="530" t="s">
        <v>2425</v>
      </c>
      <c r="C1314" s="164"/>
      <c r="D1314" s="444"/>
      <c r="E1314" s="329"/>
      <c r="H1314" s="283"/>
      <c r="I1314" s="283"/>
      <c r="K1314" s="283"/>
      <c r="L1314" s="283"/>
      <c r="M1314" s="283"/>
      <c r="N1314" s="283"/>
      <c r="O1314" s="815"/>
      <c r="P1314" s="164"/>
      <c r="Q1314" s="524">
        <v>20000</v>
      </c>
      <c r="R1314" s="351">
        <v>20000</v>
      </c>
      <c r="S1314" s="933"/>
      <c r="T1314" s="933"/>
      <c r="U1314" s="933"/>
      <c r="X1314" s="16"/>
      <c r="Y1314" s="16"/>
    </row>
    <row r="1315" spans="1:25" s="42" customFormat="1" ht="15">
      <c r="A1315" s="740"/>
      <c r="B1315" s="918" t="s">
        <v>2426</v>
      </c>
      <c r="C1315" s="164"/>
      <c r="D1315" s="444"/>
      <c r="E1315" s="329"/>
      <c r="H1315" s="283"/>
      <c r="I1315" s="283"/>
      <c r="K1315" s="283"/>
      <c r="L1315" s="283"/>
      <c r="M1315" s="283"/>
      <c r="N1315" s="283"/>
      <c r="O1315" s="815"/>
      <c r="P1315" s="164"/>
      <c r="Q1315" s="524">
        <v>10000</v>
      </c>
      <c r="R1315" s="351">
        <v>10000</v>
      </c>
      <c r="S1315" s="933"/>
      <c r="T1315" s="933"/>
      <c r="U1315" s="933"/>
      <c r="X1315" s="16"/>
      <c r="Y1315" s="16"/>
    </row>
    <row r="1316" spans="1:25" s="42" customFormat="1" ht="20.25" customHeight="1">
      <c r="A1316" s="740"/>
      <c r="B1316" s="918" t="s">
        <v>2427</v>
      </c>
      <c r="C1316" s="164"/>
      <c r="D1316" s="444"/>
      <c r="E1316" s="329"/>
      <c r="H1316" s="283"/>
      <c r="I1316" s="283"/>
      <c r="K1316" s="283"/>
      <c r="L1316" s="283"/>
      <c r="M1316" s="283"/>
      <c r="N1316" s="283"/>
      <c r="O1316" s="815"/>
      <c r="P1316" s="164"/>
      <c r="Q1316" s="508">
        <v>900</v>
      </c>
      <c r="R1316" s="93">
        <v>891</v>
      </c>
      <c r="S1316" s="1326" t="s">
        <v>5818</v>
      </c>
      <c r="T1316" s="1326"/>
      <c r="U1316" s="1326"/>
      <c r="X1316" s="16"/>
      <c r="Y1316" s="16"/>
    </row>
    <row r="1317" spans="1:25" s="42" customFormat="1" ht="15">
      <c r="A1317" s="740"/>
      <c r="B1317" s="530" t="s">
        <v>2428</v>
      </c>
      <c r="C1317" s="164"/>
      <c r="D1317" s="444"/>
      <c r="E1317" s="329"/>
      <c r="H1317" s="283"/>
      <c r="I1317" s="283"/>
      <c r="K1317" s="283"/>
      <c r="L1317" s="283"/>
      <c r="M1317" s="283"/>
      <c r="N1317" s="283"/>
      <c r="O1317" s="815"/>
      <c r="P1317" s="164"/>
      <c r="Q1317" s="524">
        <v>1000</v>
      </c>
      <c r="R1317" s="351">
        <v>1000</v>
      </c>
      <c r="S1317" s="933"/>
      <c r="T1317" s="933"/>
      <c r="U1317" s="933"/>
      <c r="X1317" s="16"/>
      <c r="Y1317" s="16"/>
    </row>
    <row r="1318" spans="1:25" s="42" customFormat="1" ht="20.25" customHeight="1">
      <c r="A1318" s="740"/>
      <c r="B1318" s="918" t="s">
        <v>2429</v>
      </c>
      <c r="C1318" s="164"/>
      <c r="D1318" s="444"/>
      <c r="E1318" s="329"/>
      <c r="H1318" s="283"/>
      <c r="I1318" s="283"/>
      <c r="K1318" s="283"/>
      <c r="L1318" s="283"/>
      <c r="M1318" s="283"/>
      <c r="N1318" s="283"/>
      <c r="O1318" s="815"/>
      <c r="P1318" s="164"/>
      <c r="Q1318" s="508">
        <v>1000</v>
      </c>
      <c r="R1318" s="93">
        <v>998</v>
      </c>
      <c r="S1318" s="1326" t="s">
        <v>4766</v>
      </c>
      <c r="T1318" s="1326"/>
      <c r="U1318" s="1326"/>
      <c r="X1318" s="16"/>
      <c r="Y1318" s="16"/>
    </row>
    <row r="1319" spans="1:25" s="42" customFormat="1" ht="21.75" customHeight="1">
      <c r="A1319" s="740"/>
      <c r="B1319" s="918" t="s">
        <v>2430</v>
      </c>
      <c r="C1319" s="164"/>
      <c r="D1319" s="444"/>
      <c r="E1319" s="329"/>
      <c r="H1319" s="283"/>
      <c r="I1319" s="283"/>
      <c r="K1319" s="283"/>
      <c r="L1319" s="283"/>
      <c r="M1319" s="283"/>
      <c r="N1319" s="283"/>
      <c r="O1319" s="815"/>
      <c r="P1319" s="164"/>
      <c r="Q1319" s="508">
        <v>1000</v>
      </c>
      <c r="R1319" s="93">
        <v>995</v>
      </c>
      <c r="S1319" s="1326" t="s">
        <v>5817</v>
      </c>
      <c r="T1319" s="1326"/>
      <c r="U1319" s="1326"/>
      <c r="X1319" s="16"/>
      <c r="Y1319" s="16"/>
    </row>
    <row r="1320" spans="1:25" s="42" customFormat="1" ht="15">
      <c r="A1320" s="740"/>
      <c r="B1320" s="918" t="s">
        <v>2431</v>
      </c>
      <c r="C1320" s="164"/>
      <c r="D1320" s="444"/>
      <c r="E1320" s="329"/>
      <c r="H1320" s="283"/>
      <c r="I1320" s="283"/>
      <c r="K1320" s="283"/>
      <c r="L1320" s="283"/>
      <c r="M1320" s="283"/>
      <c r="N1320" s="283"/>
      <c r="O1320" s="815"/>
      <c r="P1320" s="164"/>
      <c r="Q1320" s="524">
        <v>1000</v>
      </c>
      <c r="R1320" s="351">
        <v>1000</v>
      </c>
      <c r="S1320" s="933"/>
      <c r="T1320" s="933"/>
      <c r="U1320" s="933"/>
      <c r="X1320" s="16"/>
      <c r="Y1320" s="16"/>
    </row>
    <row r="1321" spans="1:25" s="42" customFormat="1" ht="15">
      <c r="A1321" s="740"/>
      <c r="B1321" s="918" t="s">
        <v>2432</v>
      </c>
      <c r="C1321" s="164"/>
      <c r="D1321" s="444"/>
      <c r="E1321" s="329"/>
      <c r="H1321" s="283"/>
      <c r="I1321" s="283"/>
      <c r="K1321" s="283"/>
      <c r="L1321" s="283"/>
      <c r="M1321" s="283"/>
      <c r="N1321" s="283"/>
      <c r="O1321" s="815"/>
      <c r="P1321" s="164"/>
      <c r="Q1321" s="524">
        <v>400</v>
      </c>
      <c r="R1321" s="351">
        <v>400</v>
      </c>
      <c r="S1321" s="933"/>
      <c r="T1321" s="933"/>
      <c r="U1321" s="933"/>
      <c r="X1321" s="16"/>
      <c r="Y1321" s="16"/>
    </row>
    <row r="1322" spans="1:25" s="42" customFormat="1" ht="15">
      <c r="A1322" s="740"/>
      <c r="B1322" s="918" t="s">
        <v>2433</v>
      </c>
      <c r="C1322" s="164"/>
      <c r="D1322" s="444"/>
      <c r="E1322" s="329"/>
      <c r="H1322" s="283"/>
      <c r="I1322" s="283"/>
      <c r="K1322" s="283"/>
      <c r="L1322" s="283"/>
      <c r="M1322" s="283"/>
      <c r="N1322" s="283"/>
      <c r="O1322" s="815"/>
      <c r="P1322" s="164"/>
      <c r="Q1322" s="524">
        <v>1000</v>
      </c>
      <c r="R1322" s="351">
        <v>1000</v>
      </c>
      <c r="S1322" s="933"/>
      <c r="T1322" s="933"/>
      <c r="U1322" s="933"/>
      <c r="X1322" s="16"/>
      <c r="Y1322" s="16"/>
    </row>
    <row r="1323" spans="1:25" s="42" customFormat="1" ht="15">
      <c r="A1323" s="740"/>
      <c r="B1323" s="918" t="s">
        <v>2434</v>
      </c>
      <c r="C1323" s="164"/>
      <c r="D1323" s="444"/>
      <c r="E1323" s="329"/>
      <c r="H1323" s="283"/>
      <c r="I1323" s="283"/>
      <c r="K1323" s="283"/>
      <c r="L1323" s="283"/>
      <c r="M1323" s="283"/>
      <c r="N1323" s="283"/>
      <c r="O1323" s="815"/>
      <c r="P1323" s="164"/>
      <c r="Q1323" s="524">
        <v>800</v>
      </c>
      <c r="R1323" s="351">
        <v>800</v>
      </c>
      <c r="S1323" s="933"/>
      <c r="T1323" s="933"/>
      <c r="U1323" s="933"/>
      <c r="X1323" s="16"/>
      <c r="Y1323" s="16"/>
    </row>
    <row r="1324" spans="1:25" s="42" customFormat="1" ht="15">
      <c r="A1324" s="740"/>
      <c r="B1324" s="918" t="s">
        <v>2435</v>
      </c>
      <c r="C1324" s="164"/>
      <c r="D1324" s="444"/>
      <c r="E1324" s="329"/>
      <c r="H1324" s="283"/>
      <c r="I1324" s="283"/>
      <c r="K1324" s="283"/>
      <c r="L1324" s="283"/>
      <c r="M1324" s="283"/>
      <c r="N1324" s="283"/>
      <c r="O1324" s="815"/>
      <c r="P1324" s="164"/>
      <c r="Q1324" s="524">
        <v>1000</v>
      </c>
      <c r="R1324" s="351">
        <v>1000</v>
      </c>
      <c r="S1324" s="933" t="s">
        <v>4767</v>
      </c>
      <c r="T1324" s="933"/>
      <c r="U1324" s="933"/>
      <c r="X1324" s="16"/>
      <c r="Y1324" s="16"/>
    </row>
    <row r="1325" spans="1:25" s="42" customFormat="1" ht="15">
      <c r="A1325" s="740"/>
      <c r="B1325" s="918" t="s">
        <v>2436</v>
      </c>
      <c r="C1325" s="164"/>
      <c r="D1325" s="444"/>
      <c r="E1325" s="329"/>
      <c r="H1325" s="283"/>
      <c r="I1325" s="283"/>
      <c r="K1325" s="283"/>
      <c r="L1325" s="283"/>
      <c r="M1325" s="283"/>
      <c r="N1325" s="283"/>
      <c r="O1325" s="815"/>
      <c r="P1325" s="164"/>
      <c r="Q1325" s="508">
        <v>1000</v>
      </c>
      <c r="R1325" s="93">
        <v>999</v>
      </c>
      <c r="S1325" s="1326" t="s">
        <v>5816</v>
      </c>
      <c r="T1325" s="1326"/>
      <c r="U1325" s="1326"/>
      <c r="X1325" s="16"/>
      <c r="Y1325" s="16"/>
    </row>
    <row r="1326" spans="1:25" s="42" customFormat="1" ht="15">
      <c r="A1326" s="740"/>
      <c r="B1326" s="918" t="s">
        <v>2437</v>
      </c>
      <c r="C1326" s="164"/>
      <c r="D1326" s="444"/>
      <c r="E1326" s="329"/>
      <c r="H1326" s="283"/>
      <c r="I1326" s="283"/>
      <c r="K1326" s="283"/>
      <c r="L1326" s="283"/>
      <c r="M1326" s="283"/>
      <c r="N1326" s="283"/>
      <c r="O1326" s="815"/>
      <c r="P1326" s="164"/>
      <c r="Q1326" s="508">
        <v>600</v>
      </c>
      <c r="R1326" s="93">
        <v>595</v>
      </c>
      <c r="S1326" s="1326" t="s">
        <v>4768</v>
      </c>
      <c r="T1326" s="1326"/>
      <c r="U1326" s="1326"/>
      <c r="X1326" s="16"/>
      <c r="Y1326" s="16"/>
    </row>
    <row r="1327" spans="1:25" s="42" customFormat="1" ht="51.75" customHeight="1">
      <c r="A1327" s="740"/>
      <c r="B1327" s="918" t="s">
        <v>2438</v>
      </c>
      <c r="C1327" s="164"/>
      <c r="D1327" s="444"/>
      <c r="E1327" s="329"/>
      <c r="H1327" s="283"/>
      <c r="I1327" s="283"/>
      <c r="K1327" s="283"/>
      <c r="L1327" s="283"/>
      <c r="M1327" s="283"/>
      <c r="N1327" s="283"/>
      <c r="O1327" s="815"/>
      <c r="P1327" s="164"/>
      <c r="Q1327" s="508">
        <v>600</v>
      </c>
      <c r="R1327" s="93">
        <v>600</v>
      </c>
      <c r="S1327" s="1326" t="s">
        <v>4769</v>
      </c>
      <c r="T1327" s="1326"/>
      <c r="U1327" s="1326"/>
      <c r="X1327" s="16"/>
      <c r="Y1327" s="16"/>
    </row>
    <row r="1328" spans="1:25" s="42" customFormat="1" ht="15">
      <c r="A1328" s="740"/>
      <c r="B1328" s="530" t="s">
        <v>2439</v>
      </c>
      <c r="C1328" s="164"/>
      <c r="D1328" s="444"/>
      <c r="E1328" s="329"/>
      <c r="H1328" s="283"/>
      <c r="I1328" s="283"/>
      <c r="K1328" s="283"/>
      <c r="L1328" s="283"/>
      <c r="M1328" s="283"/>
      <c r="N1328" s="283"/>
      <c r="O1328" s="815"/>
      <c r="P1328" s="164"/>
      <c r="Q1328" s="524">
        <v>1000</v>
      </c>
      <c r="R1328" s="351">
        <v>1000</v>
      </c>
      <c r="S1328" s="933"/>
      <c r="T1328" s="933"/>
      <c r="U1328" s="933"/>
      <c r="X1328" s="16"/>
      <c r="Y1328" s="16"/>
    </row>
    <row r="1329" spans="1:25" s="42" customFormat="1" ht="35.25" customHeight="1">
      <c r="A1329" s="740"/>
      <c r="B1329" s="918" t="s">
        <v>2440</v>
      </c>
      <c r="C1329" s="164"/>
      <c r="D1329" s="444"/>
      <c r="E1329" s="329"/>
      <c r="H1329" s="283"/>
      <c r="I1329" s="283"/>
      <c r="K1329" s="283"/>
      <c r="L1329" s="283"/>
      <c r="M1329" s="283"/>
      <c r="N1329" s="283"/>
      <c r="O1329" s="815"/>
      <c r="P1329" s="164"/>
      <c r="Q1329" s="508">
        <v>1000</v>
      </c>
      <c r="R1329" s="93">
        <v>1000</v>
      </c>
      <c r="S1329" s="1326" t="s">
        <v>4770</v>
      </c>
      <c r="T1329" s="1326"/>
      <c r="U1329" s="1326"/>
      <c r="X1329" s="16"/>
      <c r="Y1329" s="16"/>
    </row>
    <row r="1330" spans="1:25" s="42" customFormat="1" ht="15">
      <c r="A1330" s="740"/>
      <c r="B1330" s="530" t="s">
        <v>2441</v>
      </c>
      <c r="C1330" s="164"/>
      <c r="D1330" s="444"/>
      <c r="E1330" s="329"/>
      <c r="H1330" s="283"/>
      <c r="I1330" s="283"/>
      <c r="K1330" s="283"/>
      <c r="L1330" s="283"/>
      <c r="M1330" s="283"/>
      <c r="N1330" s="283"/>
      <c r="O1330" s="815"/>
      <c r="P1330" s="164"/>
      <c r="Q1330" s="524">
        <v>1000</v>
      </c>
      <c r="R1330" s="351">
        <v>997</v>
      </c>
      <c r="S1330" s="933" t="s">
        <v>4771</v>
      </c>
      <c r="T1330" s="933"/>
      <c r="U1330" s="933"/>
      <c r="X1330" s="16"/>
      <c r="Y1330" s="16"/>
    </row>
    <row r="1331" spans="1:25" s="42" customFormat="1" ht="35.25" customHeight="1">
      <c r="A1331" s="740"/>
      <c r="B1331" s="918" t="s">
        <v>2442</v>
      </c>
      <c r="C1331" s="164"/>
      <c r="D1331" s="444"/>
      <c r="E1331" s="329"/>
      <c r="H1331" s="283"/>
      <c r="I1331" s="283"/>
      <c r="K1331" s="283"/>
      <c r="L1331" s="283"/>
      <c r="M1331" s="283"/>
      <c r="N1331" s="283"/>
      <c r="O1331" s="815"/>
      <c r="P1331" s="164"/>
      <c r="Q1331" s="508">
        <v>700</v>
      </c>
      <c r="R1331" s="93">
        <v>700</v>
      </c>
      <c r="S1331" s="1326" t="s">
        <v>5815</v>
      </c>
      <c r="T1331" s="1326"/>
      <c r="U1331" s="1326"/>
      <c r="X1331" s="16"/>
      <c r="Y1331" s="16"/>
    </row>
    <row r="1332" spans="1:25" s="42" customFormat="1" ht="15">
      <c r="A1332" s="740"/>
      <c r="B1332" s="530" t="s">
        <v>1976</v>
      </c>
      <c r="C1332" s="164"/>
      <c r="D1332" s="444"/>
      <c r="E1332" s="329"/>
      <c r="H1332" s="283"/>
      <c r="I1332" s="283"/>
      <c r="K1332" s="283"/>
      <c r="L1332" s="283"/>
      <c r="M1332" s="283"/>
      <c r="N1332" s="283"/>
      <c r="O1332" s="815"/>
      <c r="P1332" s="164"/>
      <c r="Q1332" s="524">
        <v>900</v>
      </c>
      <c r="R1332" s="351">
        <v>900</v>
      </c>
      <c r="S1332" s="933"/>
      <c r="T1332" s="933"/>
      <c r="U1332" s="933"/>
      <c r="X1332" s="16"/>
      <c r="Y1332" s="16"/>
    </row>
    <row r="1333" spans="1:25" s="42" customFormat="1" ht="15">
      <c r="A1333" s="740"/>
      <c r="B1333" s="530" t="s">
        <v>2443</v>
      </c>
      <c r="C1333" s="164"/>
      <c r="D1333" s="444"/>
      <c r="E1333" s="329"/>
      <c r="H1333" s="283"/>
      <c r="I1333" s="283"/>
      <c r="K1333" s="283"/>
      <c r="L1333" s="283"/>
      <c r="M1333" s="283"/>
      <c r="N1333" s="283"/>
      <c r="O1333" s="815"/>
      <c r="P1333" s="164"/>
      <c r="Q1333" s="524">
        <v>20000</v>
      </c>
      <c r="R1333" s="351">
        <v>20000</v>
      </c>
      <c r="S1333" s="933"/>
      <c r="T1333" s="933"/>
      <c r="U1333" s="933"/>
      <c r="X1333" s="16"/>
      <c r="Y1333" s="16"/>
    </row>
    <row r="1334" spans="1:25" s="42" customFormat="1" ht="15">
      <c r="A1334" s="740"/>
      <c r="B1334" s="530" t="s">
        <v>2444</v>
      </c>
      <c r="C1334" s="164"/>
      <c r="D1334" s="444"/>
      <c r="E1334" s="329"/>
      <c r="H1334" s="283"/>
      <c r="I1334" s="283"/>
      <c r="K1334" s="283"/>
      <c r="L1334" s="283"/>
      <c r="M1334" s="283"/>
      <c r="N1334" s="283"/>
      <c r="O1334" s="815"/>
      <c r="P1334" s="164"/>
      <c r="Q1334" s="524">
        <v>5000</v>
      </c>
      <c r="R1334" s="351">
        <v>5000</v>
      </c>
      <c r="S1334" s="933"/>
      <c r="T1334" s="933"/>
      <c r="U1334" s="933"/>
      <c r="X1334" s="16"/>
      <c r="Y1334" s="16"/>
    </row>
    <row r="1335" spans="1:25" s="42" customFormat="1" ht="43.5" customHeight="1">
      <c r="A1335" s="740"/>
      <c r="B1335" s="918" t="s">
        <v>2445</v>
      </c>
      <c r="C1335" s="164"/>
      <c r="D1335" s="444"/>
      <c r="E1335" s="329"/>
      <c r="H1335" s="283"/>
      <c r="I1335" s="283"/>
      <c r="K1335" s="283"/>
      <c r="L1335" s="283"/>
      <c r="M1335" s="283"/>
      <c r="N1335" s="283"/>
      <c r="O1335" s="815"/>
      <c r="P1335" s="164"/>
      <c r="Q1335" s="508">
        <v>500</v>
      </c>
      <c r="R1335" s="93">
        <v>500</v>
      </c>
      <c r="S1335" s="1326" t="s">
        <v>4772</v>
      </c>
      <c r="T1335" s="1326"/>
      <c r="U1335" s="1326"/>
      <c r="X1335" s="16"/>
      <c r="Y1335" s="16"/>
    </row>
    <row r="1336" spans="1:25" s="42" customFormat="1" ht="21" customHeight="1">
      <c r="A1336" s="740"/>
      <c r="B1336" s="918" t="s">
        <v>2446</v>
      </c>
      <c r="C1336" s="164"/>
      <c r="D1336" s="444"/>
      <c r="E1336" s="329"/>
      <c r="H1336" s="283"/>
      <c r="I1336" s="283"/>
      <c r="K1336" s="283"/>
      <c r="L1336" s="283"/>
      <c r="M1336" s="283"/>
      <c r="N1336" s="283"/>
      <c r="O1336" s="815"/>
      <c r="P1336" s="164"/>
      <c r="Q1336" s="508">
        <v>500</v>
      </c>
      <c r="R1336" s="93">
        <v>500</v>
      </c>
      <c r="S1336" s="1326" t="s">
        <v>4773</v>
      </c>
      <c r="T1336" s="1326"/>
      <c r="U1336" s="1326"/>
      <c r="X1336" s="16"/>
      <c r="Y1336" s="16"/>
    </row>
    <row r="1337" spans="1:25" s="42" customFormat="1" ht="15">
      <c r="A1337" s="740"/>
      <c r="B1337" s="530" t="s">
        <v>2447</v>
      </c>
      <c r="C1337" s="164"/>
      <c r="D1337" s="444"/>
      <c r="E1337" s="329"/>
      <c r="H1337" s="283"/>
      <c r="I1337" s="283"/>
      <c r="K1337" s="283"/>
      <c r="L1337" s="283"/>
      <c r="M1337" s="283"/>
      <c r="N1337" s="283"/>
      <c r="O1337" s="815"/>
      <c r="P1337" s="164"/>
      <c r="Q1337" s="524">
        <v>500</v>
      </c>
      <c r="R1337" s="351">
        <v>500</v>
      </c>
      <c r="S1337" s="933"/>
      <c r="T1337" s="933"/>
      <c r="U1337" s="933"/>
      <c r="X1337" s="16"/>
      <c r="Y1337" s="16"/>
    </row>
    <row r="1338" spans="1:25" s="42" customFormat="1" ht="15">
      <c r="A1338" s="740"/>
      <c r="B1338" s="918" t="s">
        <v>2448</v>
      </c>
      <c r="C1338" s="164"/>
      <c r="D1338" s="444"/>
      <c r="E1338" s="329"/>
      <c r="H1338" s="283"/>
      <c r="I1338" s="283"/>
      <c r="K1338" s="283"/>
      <c r="L1338" s="283"/>
      <c r="M1338" s="283"/>
      <c r="N1338" s="283"/>
      <c r="O1338" s="815"/>
      <c r="P1338" s="164"/>
      <c r="Q1338" s="524">
        <v>900</v>
      </c>
      <c r="R1338" s="351">
        <v>900</v>
      </c>
      <c r="S1338" s="933"/>
      <c r="T1338" s="933"/>
      <c r="U1338" s="933"/>
      <c r="X1338" s="16"/>
      <c r="Y1338" s="16"/>
    </row>
    <row r="1339" spans="1:25" s="42" customFormat="1" ht="15">
      <c r="A1339" s="740"/>
      <c r="B1339" s="918" t="s">
        <v>2449</v>
      </c>
      <c r="C1339" s="164"/>
      <c r="D1339" s="444"/>
      <c r="E1339" s="329"/>
      <c r="H1339" s="283"/>
      <c r="I1339" s="283"/>
      <c r="K1339" s="283"/>
      <c r="L1339" s="283"/>
      <c r="M1339" s="283"/>
      <c r="N1339" s="283"/>
      <c r="O1339" s="815"/>
      <c r="P1339" s="164"/>
      <c r="Q1339" s="508">
        <v>600</v>
      </c>
      <c r="R1339" s="93">
        <v>600</v>
      </c>
      <c r="S1339" s="1349" t="s">
        <v>4774</v>
      </c>
      <c r="T1339" s="1349"/>
      <c r="U1339" s="1349"/>
      <c r="X1339" s="16"/>
      <c r="Y1339" s="16"/>
    </row>
    <row r="1340" spans="1:25" s="42" customFormat="1" ht="15">
      <c r="A1340" s="740"/>
      <c r="B1340" s="530" t="s">
        <v>2450</v>
      </c>
      <c r="C1340" s="164"/>
      <c r="D1340" s="444"/>
      <c r="E1340" s="329"/>
      <c r="H1340" s="283"/>
      <c r="I1340" s="283"/>
      <c r="K1340" s="283"/>
      <c r="L1340" s="283"/>
      <c r="M1340" s="283"/>
      <c r="N1340" s="283"/>
      <c r="O1340" s="815"/>
      <c r="P1340" s="164"/>
      <c r="Q1340" s="524">
        <v>500</v>
      </c>
      <c r="R1340" s="351">
        <v>500</v>
      </c>
      <c r="S1340" s="933"/>
      <c r="T1340" s="933"/>
      <c r="U1340" s="933"/>
      <c r="X1340" s="16"/>
      <c r="Y1340" s="16"/>
    </row>
    <row r="1341" spans="1:25" s="42" customFormat="1" ht="15">
      <c r="A1341" s="740"/>
      <c r="B1341" s="530" t="s">
        <v>2451</v>
      </c>
      <c r="C1341" s="164"/>
      <c r="D1341" s="444"/>
      <c r="E1341" s="329"/>
      <c r="H1341" s="283"/>
      <c r="I1341" s="283"/>
      <c r="K1341" s="283"/>
      <c r="L1341" s="283"/>
      <c r="M1341" s="283"/>
      <c r="N1341" s="283"/>
      <c r="O1341" s="815"/>
      <c r="P1341" s="164"/>
      <c r="Q1341" s="524">
        <v>15000</v>
      </c>
      <c r="R1341" s="351">
        <v>15000</v>
      </c>
      <c r="S1341" s="933"/>
      <c r="T1341" s="933"/>
      <c r="U1341" s="933"/>
      <c r="X1341" s="16"/>
      <c r="Y1341" s="16"/>
    </row>
    <row r="1342" spans="1:25" s="42" customFormat="1" ht="15">
      <c r="A1342" s="740"/>
      <c r="B1342" s="918" t="s">
        <v>2452</v>
      </c>
      <c r="C1342" s="164"/>
      <c r="D1342" s="444"/>
      <c r="E1342" s="329"/>
      <c r="H1342" s="283"/>
      <c r="I1342" s="283"/>
      <c r="K1342" s="283"/>
      <c r="L1342" s="283"/>
      <c r="M1342" s="283"/>
      <c r="N1342" s="283"/>
      <c r="O1342" s="815"/>
      <c r="P1342" s="164"/>
      <c r="Q1342" s="508">
        <v>1000</v>
      </c>
      <c r="R1342" s="93">
        <v>1000</v>
      </c>
      <c r="S1342" s="1326" t="s">
        <v>4775</v>
      </c>
      <c r="T1342" s="1326"/>
      <c r="U1342" s="1326"/>
      <c r="X1342" s="16"/>
      <c r="Y1342" s="16"/>
    </row>
    <row r="1343" spans="1:25" s="42" customFormat="1" ht="15">
      <c r="A1343" s="740"/>
      <c r="B1343" s="530" t="s">
        <v>2453</v>
      </c>
      <c r="C1343" s="164"/>
      <c r="D1343" s="444"/>
      <c r="E1343" s="329"/>
      <c r="H1343" s="283"/>
      <c r="I1343" s="283"/>
      <c r="K1343" s="283"/>
      <c r="L1343" s="283"/>
      <c r="M1343" s="283"/>
      <c r="N1343" s="283"/>
      <c r="O1343" s="815"/>
      <c r="P1343" s="164"/>
      <c r="Q1343" s="524">
        <v>1000</v>
      </c>
      <c r="R1343" s="351">
        <v>1000</v>
      </c>
      <c r="S1343" s="933"/>
      <c r="T1343" s="933"/>
      <c r="U1343" s="933"/>
      <c r="X1343" s="16"/>
      <c r="Y1343" s="16"/>
    </row>
    <row r="1344" spans="1:25" s="42" customFormat="1" ht="15">
      <c r="A1344" s="740"/>
      <c r="B1344" s="530" t="s">
        <v>2454</v>
      </c>
      <c r="C1344" s="164"/>
      <c r="D1344" s="444"/>
      <c r="E1344" s="329"/>
      <c r="H1344" s="283"/>
      <c r="I1344" s="283"/>
      <c r="K1344" s="283"/>
      <c r="L1344" s="283"/>
      <c r="M1344" s="283"/>
      <c r="N1344" s="283"/>
      <c r="O1344" s="815"/>
      <c r="P1344" s="164"/>
      <c r="Q1344" s="524">
        <v>900</v>
      </c>
      <c r="R1344" s="351">
        <v>900</v>
      </c>
      <c r="S1344" s="933"/>
      <c r="T1344" s="933"/>
      <c r="U1344" s="933"/>
      <c r="X1344" s="16"/>
      <c r="Y1344" s="16"/>
    </row>
    <row r="1345" spans="1:25" s="42" customFormat="1" ht="15">
      <c r="A1345" s="740"/>
      <c r="B1345" s="530" t="s">
        <v>2455</v>
      </c>
      <c r="C1345" s="164"/>
      <c r="D1345" s="444"/>
      <c r="E1345" s="329"/>
      <c r="H1345" s="283"/>
      <c r="I1345" s="283"/>
      <c r="K1345" s="283"/>
      <c r="L1345" s="283"/>
      <c r="M1345" s="283"/>
      <c r="N1345" s="283"/>
      <c r="O1345" s="815"/>
      <c r="P1345" s="164"/>
      <c r="Q1345" s="524">
        <v>700</v>
      </c>
      <c r="R1345" s="351">
        <v>700</v>
      </c>
      <c r="S1345" s="933"/>
      <c r="T1345" s="933"/>
      <c r="U1345" s="933"/>
      <c r="X1345" s="16"/>
      <c r="Y1345" s="16"/>
    </row>
    <row r="1346" spans="1:25" s="42" customFormat="1" ht="15">
      <c r="A1346" s="740"/>
      <c r="B1346" s="918" t="s">
        <v>2456</v>
      </c>
      <c r="C1346" s="164"/>
      <c r="D1346" s="444"/>
      <c r="E1346" s="329"/>
      <c r="H1346" s="283"/>
      <c r="I1346" s="283"/>
      <c r="K1346" s="283"/>
      <c r="L1346" s="283"/>
      <c r="M1346" s="283"/>
      <c r="N1346" s="283"/>
      <c r="O1346" s="815"/>
      <c r="P1346" s="164"/>
      <c r="Q1346" s="508">
        <v>700</v>
      </c>
      <c r="R1346" s="93">
        <v>700</v>
      </c>
      <c r="S1346" s="1326" t="s">
        <v>4776</v>
      </c>
      <c r="T1346" s="1326"/>
      <c r="U1346" s="1326"/>
      <c r="X1346" s="16"/>
      <c r="Y1346" s="16"/>
    </row>
    <row r="1347" spans="1:25" s="42" customFormat="1" ht="15">
      <c r="A1347" s="740"/>
      <c r="B1347" s="530" t="s">
        <v>2457</v>
      </c>
      <c r="C1347" s="164"/>
      <c r="D1347" s="444"/>
      <c r="E1347" s="329"/>
      <c r="H1347" s="283"/>
      <c r="I1347" s="283"/>
      <c r="K1347" s="283"/>
      <c r="L1347" s="283"/>
      <c r="M1347" s="283"/>
      <c r="N1347" s="283"/>
      <c r="O1347" s="815"/>
      <c r="P1347" s="164"/>
      <c r="Q1347" s="524">
        <v>1000</v>
      </c>
      <c r="R1347" s="351">
        <v>1000</v>
      </c>
      <c r="S1347" s="933"/>
      <c r="T1347" s="933"/>
      <c r="U1347" s="933"/>
      <c r="X1347" s="16"/>
      <c r="Y1347" s="16"/>
    </row>
    <row r="1348" spans="1:25" s="42" customFormat="1" ht="15">
      <c r="A1348" s="740"/>
      <c r="B1348" s="530" t="s">
        <v>2458</v>
      </c>
      <c r="C1348" s="164"/>
      <c r="D1348" s="444"/>
      <c r="E1348" s="329"/>
      <c r="H1348" s="283"/>
      <c r="I1348" s="283"/>
      <c r="K1348" s="283"/>
      <c r="L1348" s="283"/>
      <c r="M1348" s="283"/>
      <c r="N1348" s="283"/>
      <c r="O1348" s="815"/>
      <c r="P1348" s="164"/>
      <c r="Q1348" s="524">
        <v>20000</v>
      </c>
      <c r="R1348" s="351">
        <v>20000</v>
      </c>
      <c r="S1348" s="933"/>
      <c r="T1348" s="933"/>
      <c r="U1348" s="933"/>
      <c r="X1348" s="16"/>
      <c r="Y1348" s="16"/>
    </row>
    <row r="1349" spans="1:25" s="42" customFormat="1" ht="15">
      <c r="A1349" s="740"/>
      <c r="B1349" s="530" t="s">
        <v>2459</v>
      </c>
      <c r="C1349" s="164"/>
      <c r="D1349" s="444"/>
      <c r="E1349" s="329"/>
      <c r="H1349" s="283"/>
      <c r="I1349" s="283"/>
      <c r="K1349" s="283"/>
      <c r="L1349" s="283"/>
      <c r="M1349" s="283"/>
      <c r="N1349" s="283"/>
      <c r="O1349" s="815"/>
      <c r="P1349" s="164"/>
      <c r="Q1349" s="524">
        <v>15000</v>
      </c>
      <c r="R1349" s="351">
        <v>15000</v>
      </c>
      <c r="S1349" s="933"/>
      <c r="T1349" s="933"/>
      <c r="U1349" s="933"/>
      <c r="X1349" s="16"/>
      <c r="Y1349" s="16"/>
    </row>
    <row r="1350" spans="1:25" s="42" customFormat="1" ht="15">
      <c r="A1350" s="740"/>
      <c r="B1350" s="530" t="s">
        <v>2460</v>
      </c>
      <c r="C1350" s="164"/>
      <c r="D1350" s="444"/>
      <c r="E1350" s="329"/>
      <c r="H1350" s="283"/>
      <c r="I1350" s="283"/>
      <c r="K1350" s="283"/>
      <c r="L1350" s="283"/>
      <c r="M1350" s="283"/>
      <c r="N1350" s="283"/>
      <c r="O1350" s="815"/>
      <c r="P1350" s="164"/>
      <c r="Q1350" s="524">
        <v>900</v>
      </c>
      <c r="R1350" s="351">
        <v>900</v>
      </c>
      <c r="S1350" s="933"/>
      <c r="T1350" s="933"/>
      <c r="U1350" s="933"/>
      <c r="X1350" s="16"/>
      <c r="Y1350" s="16"/>
    </row>
    <row r="1351" spans="1:25" s="42" customFormat="1" ht="15">
      <c r="A1351" s="740"/>
      <c r="B1351" s="530" t="s">
        <v>2461</v>
      </c>
      <c r="C1351" s="164"/>
      <c r="D1351" s="444"/>
      <c r="E1351" s="329"/>
      <c r="H1351" s="283"/>
      <c r="I1351" s="283"/>
      <c r="K1351" s="283"/>
      <c r="L1351" s="283"/>
      <c r="M1351" s="283"/>
      <c r="N1351" s="283"/>
      <c r="O1351" s="815"/>
      <c r="P1351" s="164"/>
      <c r="Q1351" s="524">
        <v>1000</v>
      </c>
      <c r="R1351" s="351">
        <v>1000</v>
      </c>
      <c r="S1351" s="933"/>
      <c r="T1351" s="933"/>
      <c r="U1351" s="933"/>
      <c r="X1351" s="16"/>
      <c r="Y1351" s="16"/>
    </row>
    <row r="1352" spans="1:25" s="42" customFormat="1" ht="15">
      <c r="A1352" s="740"/>
      <c r="B1352" s="530" t="s">
        <v>2462</v>
      </c>
      <c r="C1352" s="164"/>
      <c r="D1352" s="444"/>
      <c r="E1352" s="329"/>
      <c r="H1352" s="283"/>
      <c r="I1352" s="283"/>
      <c r="K1352" s="283"/>
      <c r="L1352" s="283"/>
      <c r="M1352" s="283"/>
      <c r="N1352" s="283"/>
      <c r="O1352" s="815"/>
      <c r="P1352" s="164"/>
      <c r="Q1352" s="524">
        <v>1000</v>
      </c>
      <c r="R1352" s="351">
        <v>1000</v>
      </c>
      <c r="S1352" s="933"/>
      <c r="T1352" s="933"/>
      <c r="U1352" s="933"/>
      <c r="X1352" s="16"/>
      <c r="Y1352" s="16"/>
    </row>
    <row r="1353" spans="1:25" s="42" customFormat="1" ht="15">
      <c r="A1353" s="740"/>
      <c r="B1353" s="918" t="s">
        <v>2463</v>
      </c>
      <c r="C1353" s="164"/>
      <c r="D1353" s="444"/>
      <c r="E1353" s="329"/>
      <c r="H1353" s="283"/>
      <c r="I1353" s="283"/>
      <c r="K1353" s="283"/>
      <c r="L1353" s="283"/>
      <c r="M1353" s="283"/>
      <c r="N1353" s="283"/>
      <c r="O1353" s="815"/>
      <c r="P1353" s="164"/>
      <c r="Q1353" s="508">
        <v>700</v>
      </c>
      <c r="R1353" s="93">
        <v>700</v>
      </c>
      <c r="S1353" s="1326" t="s">
        <v>5814</v>
      </c>
      <c r="T1353" s="1326"/>
      <c r="U1353" s="1326"/>
      <c r="X1353" s="16"/>
      <c r="Y1353" s="16"/>
    </row>
    <row r="1354" spans="1:25" s="42" customFormat="1" ht="15">
      <c r="A1354" s="740"/>
      <c r="B1354" s="530" t="s">
        <v>2464</v>
      </c>
      <c r="C1354" s="164"/>
      <c r="D1354" s="444"/>
      <c r="E1354" s="329"/>
      <c r="H1354" s="283"/>
      <c r="I1354" s="283"/>
      <c r="K1354" s="283"/>
      <c r="L1354" s="283"/>
      <c r="M1354" s="283"/>
      <c r="N1354" s="283"/>
      <c r="O1354" s="815"/>
      <c r="P1354" s="164"/>
      <c r="Q1354" s="524">
        <v>800</v>
      </c>
      <c r="R1354" s="351">
        <v>800</v>
      </c>
      <c r="S1354" s="933"/>
      <c r="T1354" s="933"/>
      <c r="U1354" s="933"/>
      <c r="X1354" s="16"/>
      <c r="Y1354" s="16"/>
    </row>
    <row r="1355" spans="1:25" s="42" customFormat="1" ht="34.5" customHeight="1">
      <c r="A1355" s="740"/>
      <c r="B1355" s="918" t="s">
        <v>2465</v>
      </c>
      <c r="C1355" s="164"/>
      <c r="D1355" s="444"/>
      <c r="E1355" s="329"/>
      <c r="H1355" s="283"/>
      <c r="I1355" s="283"/>
      <c r="K1355" s="283"/>
      <c r="L1355" s="283"/>
      <c r="M1355" s="283"/>
      <c r="N1355" s="283"/>
      <c r="O1355" s="815"/>
      <c r="P1355" s="164"/>
      <c r="Q1355" s="508">
        <v>500</v>
      </c>
      <c r="R1355" s="93">
        <v>498</v>
      </c>
      <c r="S1355" s="1326" t="s">
        <v>5813</v>
      </c>
      <c r="T1355" s="1326"/>
      <c r="U1355" s="1326"/>
      <c r="X1355" s="16"/>
      <c r="Y1355" s="16"/>
    </row>
    <row r="1356" spans="1:25" s="42" customFormat="1" ht="15">
      <c r="A1356" s="740"/>
      <c r="B1356" s="918" t="s">
        <v>2466</v>
      </c>
      <c r="C1356" s="164"/>
      <c r="D1356" s="444"/>
      <c r="E1356" s="329"/>
      <c r="H1356" s="283"/>
      <c r="I1356" s="283"/>
      <c r="K1356" s="283"/>
      <c r="L1356" s="283"/>
      <c r="M1356" s="283"/>
      <c r="N1356" s="283"/>
      <c r="O1356" s="815"/>
      <c r="P1356" s="164"/>
      <c r="Q1356" s="508">
        <v>500</v>
      </c>
      <c r="R1356" s="93">
        <v>491</v>
      </c>
      <c r="S1356" s="1326" t="s">
        <v>4777</v>
      </c>
      <c r="T1356" s="1326"/>
      <c r="U1356" s="1326"/>
      <c r="X1356" s="16"/>
      <c r="Y1356" s="16"/>
    </row>
    <row r="1357" spans="1:25" s="42" customFormat="1" ht="15">
      <c r="A1357" s="740"/>
      <c r="B1357" s="446"/>
      <c r="C1357" s="164"/>
      <c r="D1357" s="444"/>
      <c r="E1357" s="647"/>
      <c r="H1357" s="283"/>
      <c r="I1357" s="283"/>
      <c r="K1357" s="283"/>
      <c r="L1357" s="283"/>
      <c r="M1357" s="283"/>
      <c r="N1357" s="283"/>
      <c r="O1357" s="815"/>
      <c r="P1357" s="164"/>
      <c r="Q1357" s="351"/>
      <c r="R1357" s="351"/>
      <c r="S1357" s="933"/>
      <c r="T1357" s="933"/>
      <c r="U1357" s="933"/>
      <c r="X1357" s="16"/>
      <c r="Y1357" s="16"/>
    </row>
    <row r="1358" spans="1:25" s="42" customFormat="1" ht="15">
      <c r="A1358" s="740"/>
      <c r="B1358" s="446" t="s">
        <v>1651</v>
      </c>
      <c r="C1358" s="164" t="s">
        <v>2467</v>
      </c>
      <c r="D1358" s="444">
        <v>40899</v>
      </c>
      <c r="E1358" s="647"/>
      <c r="F1358" s="42" t="s">
        <v>315</v>
      </c>
      <c r="H1358" s="283"/>
      <c r="I1358" s="283"/>
      <c r="K1358" s="283">
        <v>180100</v>
      </c>
      <c r="L1358" s="283"/>
      <c r="M1358" s="283">
        <f t="shared" si="98"/>
        <v>180100</v>
      </c>
      <c r="N1358" s="283"/>
      <c r="O1358" s="815"/>
      <c r="P1358" s="164" t="s">
        <v>104</v>
      </c>
      <c r="Q1358" s="524">
        <v>180100</v>
      </c>
      <c r="R1358" s="524">
        <v>180100</v>
      </c>
      <c r="S1358" s="933"/>
      <c r="T1358" s="933"/>
      <c r="U1358" s="933"/>
      <c r="W1358" s="42" t="s">
        <v>2002</v>
      </c>
      <c r="X1358" s="16">
        <f t="shared" si="97"/>
        <v>180100</v>
      </c>
      <c r="Y1358" s="16">
        <f>X1358-M1358</f>
        <v>0</v>
      </c>
    </row>
    <row r="1359" spans="1:25" s="42" customFormat="1" ht="15">
      <c r="A1359" s="740"/>
      <c r="B1359" s="446" t="s">
        <v>1639</v>
      </c>
      <c r="C1359" s="164" t="s">
        <v>2468</v>
      </c>
      <c r="D1359" s="444">
        <v>40899</v>
      </c>
      <c r="E1359" s="647"/>
      <c r="F1359" s="42" t="s">
        <v>315</v>
      </c>
      <c r="H1359" s="283"/>
      <c r="I1359" s="283"/>
      <c r="K1359" s="283">
        <v>282100</v>
      </c>
      <c r="L1359" s="283"/>
      <c r="M1359" s="283">
        <f t="shared" si="98"/>
        <v>282100</v>
      </c>
      <c r="N1359" s="283"/>
      <c r="O1359" s="815"/>
      <c r="P1359" s="164" t="s">
        <v>104</v>
      </c>
      <c r="Q1359" s="524">
        <v>282100</v>
      </c>
      <c r="R1359" s="524">
        <v>282100</v>
      </c>
      <c r="S1359" s="933"/>
      <c r="T1359" s="933"/>
      <c r="U1359" s="933"/>
      <c r="W1359" s="42" t="s">
        <v>2002</v>
      </c>
      <c r="X1359" s="16">
        <f t="shared" si="97"/>
        <v>282100</v>
      </c>
      <c r="Y1359" s="16">
        <f>X1359-M1359</f>
        <v>0</v>
      </c>
    </row>
    <row r="1360" spans="1:25" s="42" customFormat="1" ht="15">
      <c r="A1360" s="740"/>
      <c r="B1360" s="446" t="s">
        <v>1591</v>
      </c>
      <c r="C1360" s="164" t="s">
        <v>2469</v>
      </c>
      <c r="D1360" s="444">
        <v>40899</v>
      </c>
      <c r="E1360" s="647"/>
      <c r="F1360" s="42" t="s">
        <v>1960</v>
      </c>
      <c r="H1360" s="283"/>
      <c r="I1360" s="283"/>
      <c r="K1360" s="283">
        <v>93100</v>
      </c>
      <c r="L1360" s="283"/>
      <c r="M1360" s="283">
        <f t="shared" si="98"/>
        <v>93100</v>
      </c>
      <c r="N1360" s="283"/>
      <c r="O1360" s="815"/>
      <c r="P1360" s="164" t="s">
        <v>104</v>
      </c>
      <c r="Q1360" s="524">
        <v>93100</v>
      </c>
      <c r="R1360" s="524">
        <v>93100</v>
      </c>
      <c r="S1360" s="933"/>
      <c r="T1360" s="933"/>
      <c r="U1360" s="933"/>
      <c r="W1360" s="42" t="s">
        <v>2002</v>
      </c>
      <c r="X1360" s="16">
        <f t="shared" si="97"/>
        <v>93100</v>
      </c>
      <c r="Y1360" s="16">
        <f>X1360-M1360</f>
        <v>0</v>
      </c>
    </row>
    <row r="1361" spans="1:25" s="42" customFormat="1" ht="15">
      <c r="A1361" s="740"/>
      <c r="B1361" s="715" t="s">
        <v>6377</v>
      </c>
      <c r="C1361" s="164"/>
      <c r="D1361" s="444"/>
      <c r="E1361" s="647"/>
      <c r="H1361" s="283"/>
      <c r="I1361" s="283"/>
      <c r="K1361" s="283"/>
      <c r="L1361" s="283"/>
      <c r="M1361" s="283"/>
      <c r="N1361" s="283"/>
      <c r="O1361" s="815"/>
      <c r="P1361" s="164"/>
      <c r="Q1361" s="524"/>
      <c r="R1361" s="524"/>
      <c r="S1361" s="933"/>
      <c r="T1361" s="933"/>
      <c r="U1361" s="933"/>
      <c r="X1361" s="16"/>
      <c r="Y1361" s="16"/>
    </row>
    <row r="1362" spans="1:25" s="42" customFormat="1" ht="15">
      <c r="A1362" s="740"/>
      <c r="B1362" s="715" t="s">
        <v>6378</v>
      </c>
      <c r="C1362" s="164"/>
      <c r="D1362" s="444"/>
      <c r="E1362" s="647"/>
      <c r="H1362" s="283"/>
      <c r="I1362" s="283"/>
      <c r="K1362" s="283"/>
      <c r="L1362" s="283"/>
      <c r="M1362" s="283"/>
      <c r="N1362" s="283"/>
      <c r="O1362" s="815"/>
      <c r="P1362" s="164"/>
      <c r="Q1362" s="524"/>
      <c r="R1362" s="524"/>
      <c r="S1362" s="933"/>
      <c r="T1362" s="933"/>
      <c r="U1362" s="933"/>
      <c r="X1362" s="16"/>
      <c r="Y1362" s="16"/>
    </row>
    <row r="1363" spans="1:25" s="42" customFormat="1" ht="15">
      <c r="A1363" s="740"/>
      <c r="B1363" s="715" t="s">
        <v>6379</v>
      </c>
      <c r="C1363" s="164"/>
      <c r="D1363" s="444"/>
      <c r="E1363" s="647"/>
      <c r="H1363" s="283"/>
      <c r="I1363" s="283"/>
      <c r="K1363" s="283"/>
      <c r="L1363" s="283"/>
      <c r="M1363" s="283"/>
      <c r="N1363" s="283"/>
      <c r="O1363" s="815"/>
      <c r="P1363" s="164"/>
      <c r="Q1363" s="524"/>
      <c r="R1363" s="524"/>
      <c r="S1363" s="933"/>
      <c r="T1363" s="933"/>
      <c r="U1363" s="933"/>
      <c r="X1363" s="16"/>
      <c r="Y1363" s="16"/>
    </row>
    <row r="1364" spans="1:25" s="42" customFormat="1" ht="15">
      <c r="A1364" s="740"/>
      <c r="B1364" s="715" t="s">
        <v>6380</v>
      </c>
      <c r="C1364" s="164"/>
      <c r="D1364" s="444"/>
      <c r="E1364" s="647"/>
      <c r="H1364" s="283"/>
      <c r="I1364" s="283"/>
      <c r="K1364" s="283"/>
      <c r="L1364" s="283"/>
      <c r="M1364" s="283"/>
      <c r="N1364" s="283"/>
      <c r="O1364" s="815"/>
      <c r="P1364" s="164"/>
      <c r="Q1364" s="524"/>
      <c r="R1364" s="524"/>
      <c r="S1364" s="933"/>
      <c r="T1364" s="933"/>
      <c r="U1364" s="933"/>
      <c r="X1364" s="16"/>
      <c r="Y1364" s="16"/>
    </row>
    <row r="1365" spans="1:25" s="42" customFormat="1" ht="15">
      <c r="A1365" s="740"/>
      <c r="B1365" s="715" t="s">
        <v>6381</v>
      </c>
      <c r="C1365" s="164"/>
      <c r="D1365" s="444"/>
      <c r="E1365" s="647"/>
      <c r="H1365" s="283"/>
      <c r="I1365" s="283"/>
      <c r="K1365" s="283"/>
      <c r="L1365" s="283"/>
      <c r="M1365" s="283"/>
      <c r="N1365" s="283"/>
      <c r="O1365" s="815"/>
      <c r="P1365" s="164"/>
      <c r="Q1365" s="524"/>
      <c r="R1365" s="524"/>
      <c r="S1365" s="933"/>
      <c r="T1365" s="933"/>
      <c r="U1365" s="933"/>
      <c r="X1365" s="16"/>
      <c r="Y1365" s="16"/>
    </row>
    <row r="1366" spans="1:25" s="42" customFormat="1" ht="15">
      <c r="A1366" s="740"/>
      <c r="B1366" s="715" t="s">
        <v>6382</v>
      </c>
      <c r="C1366" s="164"/>
      <c r="D1366" s="444"/>
      <c r="E1366" s="647"/>
      <c r="H1366" s="283"/>
      <c r="I1366" s="283"/>
      <c r="K1366" s="283"/>
      <c r="L1366" s="283"/>
      <c r="M1366" s="283"/>
      <c r="N1366" s="283"/>
      <c r="O1366" s="815"/>
      <c r="P1366" s="164"/>
      <c r="Q1366" s="524"/>
      <c r="R1366" s="524"/>
      <c r="S1366" s="933"/>
      <c r="T1366" s="933"/>
      <c r="U1366" s="933"/>
      <c r="X1366" s="16"/>
      <c r="Y1366" s="16"/>
    </row>
    <row r="1367" spans="1:25" s="42" customFormat="1" ht="90">
      <c r="A1367" s="740"/>
      <c r="B1367" s="715" t="s">
        <v>6383</v>
      </c>
      <c r="C1367" s="164"/>
      <c r="D1367" s="444"/>
      <c r="E1367" s="647"/>
      <c r="H1367" s="283"/>
      <c r="I1367" s="283"/>
      <c r="K1367" s="283"/>
      <c r="L1367" s="283"/>
      <c r="M1367" s="283"/>
      <c r="N1367" s="283"/>
      <c r="O1367" s="815"/>
      <c r="P1367" s="164"/>
      <c r="Q1367" s="524"/>
      <c r="R1367" s="524"/>
      <c r="S1367" s="933" t="s">
        <v>6407</v>
      </c>
      <c r="T1367" s="933"/>
      <c r="U1367" s="933"/>
      <c r="X1367" s="16"/>
      <c r="Y1367" s="16"/>
    </row>
    <row r="1368" spans="1:25" s="42" customFormat="1" ht="15">
      <c r="A1368" s="740"/>
      <c r="B1368" s="715" t="s">
        <v>6384</v>
      </c>
      <c r="C1368" s="164"/>
      <c r="D1368" s="444"/>
      <c r="E1368" s="647"/>
      <c r="H1368" s="283"/>
      <c r="I1368" s="283"/>
      <c r="K1368" s="283"/>
      <c r="L1368" s="283"/>
      <c r="M1368" s="283"/>
      <c r="N1368" s="283"/>
      <c r="O1368" s="815"/>
      <c r="P1368" s="164"/>
      <c r="Q1368" s="524"/>
      <c r="R1368" s="524"/>
      <c r="S1368" s="933"/>
      <c r="T1368" s="933"/>
      <c r="U1368" s="933"/>
      <c r="X1368" s="16"/>
      <c r="Y1368" s="16"/>
    </row>
    <row r="1369" spans="1:25" s="42" customFormat="1" ht="15">
      <c r="A1369" s="740"/>
      <c r="B1369" s="715" t="s">
        <v>6385</v>
      </c>
      <c r="C1369" s="164"/>
      <c r="D1369" s="444"/>
      <c r="E1369" s="647"/>
      <c r="H1369" s="283"/>
      <c r="I1369" s="283"/>
      <c r="K1369" s="283"/>
      <c r="L1369" s="283"/>
      <c r="M1369" s="283"/>
      <c r="N1369" s="283"/>
      <c r="O1369" s="815"/>
      <c r="P1369" s="164"/>
      <c r="Q1369" s="524"/>
      <c r="R1369" s="524"/>
      <c r="S1369" s="1173" t="s">
        <v>6408</v>
      </c>
      <c r="T1369" s="933"/>
      <c r="U1369" s="933"/>
      <c r="X1369" s="16"/>
      <c r="Y1369" s="16"/>
    </row>
    <row r="1370" spans="1:25" s="42" customFormat="1" ht="15">
      <c r="A1370" s="740"/>
      <c r="B1370" s="715" t="s">
        <v>6386</v>
      </c>
      <c r="C1370" s="164"/>
      <c r="D1370" s="444"/>
      <c r="E1370" s="647"/>
      <c r="H1370" s="283"/>
      <c r="I1370" s="283"/>
      <c r="K1370" s="283"/>
      <c r="L1370" s="283"/>
      <c r="M1370" s="283"/>
      <c r="N1370" s="283"/>
      <c r="O1370" s="815"/>
      <c r="P1370" s="164"/>
      <c r="Q1370" s="524"/>
      <c r="R1370" s="524"/>
      <c r="S1370" s="933"/>
      <c r="T1370" s="933"/>
      <c r="U1370" s="933"/>
      <c r="X1370" s="16"/>
      <c r="Y1370" s="16"/>
    </row>
    <row r="1371" spans="1:25" s="42" customFormat="1" ht="30">
      <c r="A1371" s="740"/>
      <c r="B1371" s="715" t="s">
        <v>6387</v>
      </c>
      <c r="C1371" s="164"/>
      <c r="D1371" s="444"/>
      <c r="E1371" s="647"/>
      <c r="H1371" s="283"/>
      <c r="I1371" s="283"/>
      <c r="K1371" s="283"/>
      <c r="L1371" s="283"/>
      <c r="M1371" s="283"/>
      <c r="N1371" s="283"/>
      <c r="O1371" s="815"/>
      <c r="P1371" s="164"/>
      <c r="Q1371" s="524"/>
      <c r="R1371" s="524"/>
      <c r="S1371" s="933" t="s">
        <v>6409</v>
      </c>
      <c r="T1371" s="933"/>
      <c r="U1371" s="933"/>
      <c r="X1371" s="16"/>
      <c r="Y1371" s="16"/>
    </row>
    <row r="1372" spans="1:25" s="42" customFormat="1" ht="15">
      <c r="A1372" s="740"/>
      <c r="B1372" s="715" t="s">
        <v>6388</v>
      </c>
      <c r="C1372" s="164"/>
      <c r="D1372" s="444"/>
      <c r="E1372" s="647"/>
      <c r="H1372" s="283"/>
      <c r="I1372" s="283"/>
      <c r="K1372" s="283"/>
      <c r="L1372" s="283"/>
      <c r="M1372" s="283"/>
      <c r="N1372" s="283"/>
      <c r="O1372" s="815"/>
      <c r="P1372" s="164"/>
      <c r="Q1372" s="524"/>
      <c r="R1372" s="524"/>
      <c r="S1372" s="1168" t="s">
        <v>6410</v>
      </c>
      <c r="T1372" s="1168"/>
      <c r="U1372" s="1168"/>
      <c r="X1372" s="16"/>
      <c r="Y1372" s="16"/>
    </row>
    <row r="1373" spans="1:25" s="42" customFormat="1" ht="15">
      <c r="A1373" s="740"/>
      <c r="B1373" s="715" t="s">
        <v>6389</v>
      </c>
      <c r="C1373" s="164"/>
      <c r="D1373" s="444"/>
      <c r="E1373" s="647"/>
      <c r="H1373" s="283"/>
      <c r="I1373" s="283"/>
      <c r="K1373" s="283"/>
      <c r="L1373" s="283"/>
      <c r="M1373" s="283"/>
      <c r="N1373" s="283"/>
      <c r="O1373" s="815"/>
      <c r="P1373" s="164"/>
      <c r="Q1373" s="524"/>
      <c r="R1373" s="524"/>
      <c r="S1373" s="30" t="s">
        <v>6411</v>
      </c>
      <c r="T1373" s="933"/>
      <c r="U1373" s="933"/>
      <c r="X1373" s="16"/>
      <c r="Y1373" s="16"/>
    </row>
    <row r="1374" spans="1:25" s="42" customFormat="1" ht="15">
      <c r="A1374" s="740"/>
      <c r="B1374" s="715" t="s">
        <v>6390</v>
      </c>
      <c r="C1374" s="164"/>
      <c r="D1374" s="444"/>
      <c r="E1374" s="647"/>
      <c r="H1374" s="283"/>
      <c r="I1374" s="283"/>
      <c r="K1374" s="283"/>
      <c r="L1374" s="283"/>
      <c r="M1374" s="283"/>
      <c r="N1374" s="283"/>
      <c r="O1374" s="815"/>
      <c r="P1374" s="164"/>
      <c r="Q1374" s="524"/>
      <c r="R1374" s="524"/>
      <c r="S1374" s="933"/>
      <c r="T1374" s="933"/>
      <c r="U1374" s="933"/>
      <c r="X1374" s="16"/>
      <c r="Y1374" s="16"/>
    </row>
    <row r="1375" spans="1:25" s="42" customFormat="1" ht="15">
      <c r="A1375" s="740"/>
      <c r="B1375" s="715" t="s">
        <v>6391</v>
      </c>
      <c r="C1375" s="164"/>
      <c r="D1375" s="444"/>
      <c r="E1375" s="647"/>
      <c r="H1375" s="283"/>
      <c r="I1375" s="283"/>
      <c r="K1375" s="283"/>
      <c r="L1375" s="283"/>
      <c r="M1375" s="283"/>
      <c r="N1375" s="283"/>
      <c r="O1375" s="815"/>
      <c r="P1375" s="164"/>
      <c r="Q1375" s="524"/>
      <c r="R1375" s="524"/>
      <c r="S1375" s="933"/>
      <c r="T1375" s="933"/>
      <c r="U1375" s="933"/>
      <c r="X1375" s="16"/>
      <c r="Y1375" s="16"/>
    </row>
    <row r="1376" spans="1:25" s="42" customFormat="1" ht="15">
      <c r="A1376" s="740"/>
      <c r="B1376" s="715" t="s">
        <v>6392</v>
      </c>
      <c r="C1376" s="164"/>
      <c r="D1376" s="444"/>
      <c r="E1376" s="647"/>
      <c r="H1376" s="283"/>
      <c r="I1376" s="283"/>
      <c r="K1376" s="283"/>
      <c r="L1376" s="283"/>
      <c r="M1376" s="283"/>
      <c r="N1376" s="283"/>
      <c r="O1376" s="815"/>
      <c r="P1376" s="164"/>
      <c r="Q1376" s="524"/>
      <c r="R1376" s="524"/>
      <c r="S1376" s="933"/>
      <c r="T1376" s="933"/>
      <c r="U1376" s="933"/>
      <c r="X1376" s="16"/>
      <c r="Y1376" s="16"/>
    </row>
    <row r="1377" spans="1:25" s="42" customFormat="1" ht="15">
      <c r="A1377" s="740"/>
      <c r="B1377" s="715" t="s">
        <v>6393</v>
      </c>
      <c r="C1377" s="164"/>
      <c r="D1377" s="444"/>
      <c r="E1377" s="647"/>
      <c r="H1377" s="283"/>
      <c r="I1377" s="283"/>
      <c r="K1377" s="283"/>
      <c r="L1377" s="283"/>
      <c r="M1377" s="283"/>
      <c r="N1377" s="283"/>
      <c r="O1377" s="815"/>
      <c r="P1377" s="164"/>
      <c r="Q1377" s="524"/>
      <c r="R1377" s="524"/>
      <c r="S1377" s="30" t="s">
        <v>6412</v>
      </c>
      <c r="T1377" s="30"/>
      <c r="U1377" s="30"/>
      <c r="X1377" s="16"/>
      <c r="Y1377" s="16"/>
    </row>
    <row r="1378" spans="1:25" s="42" customFormat="1" ht="15">
      <c r="A1378" s="740"/>
      <c r="B1378" s="715" t="s">
        <v>6394</v>
      </c>
      <c r="C1378" s="164"/>
      <c r="D1378" s="444"/>
      <c r="E1378" s="647"/>
      <c r="H1378" s="283"/>
      <c r="I1378" s="283"/>
      <c r="K1378" s="283"/>
      <c r="L1378" s="283"/>
      <c r="M1378" s="283"/>
      <c r="N1378" s="283"/>
      <c r="O1378" s="815"/>
      <c r="P1378" s="164"/>
      <c r="Q1378" s="524"/>
      <c r="R1378" s="524"/>
      <c r="S1378" s="30"/>
      <c r="T1378" s="30"/>
      <c r="U1378" s="30"/>
      <c r="X1378" s="16"/>
      <c r="Y1378" s="16"/>
    </row>
    <row r="1379" spans="1:25" s="42" customFormat="1" ht="15">
      <c r="A1379" s="740"/>
      <c r="B1379" s="715" t="s">
        <v>6395</v>
      </c>
      <c r="C1379" s="164"/>
      <c r="D1379" s="444"/>
      <c r="E1379" s="647"/>
      <c r="H1379" s="283"/>
      <c r="I1379" s="283"/>
      <c r="K1379" s="283"/>
      <c r="L1379" s="283"/>
      <c r="M1379" s="283"/>
      <c r="N1379" s="283"/>
      <c r="O1379" s="815"/>
      <c r="P1379" s="164"/>
      <c r="Q1379" s="524"/>
      <c r="R1379" s="524"/>
      <c r="S1379" s="30"/>
      <c r="T1379" s="30"/>
      <c r="U1379" s="30"/>
      <c r="X1379" s="16"/>
      <c r="Y1379" s="16"/>
    </row>
    <row r="1380" spans="1:25" s="42" customFormat="1" ht="15">
      <c r="A1380" s="740"/>
      <c r="B1380" s="715" t="s">
        <v>6396</v>
      </c>
      <c r="C1380" s="164"/>
      <c r="D1380" s="444"/>
      <c r="E1380" s="647"/>
      <c r="H1380" s="283"/>
      <c r="I1380" s="283"/>
      <c r="K1380" s="283"/>
      <c r="L1380" s="283"/>
      <c r="M1380" s="283"/>
      <c r="N1380" s="283"/>
      <c r="O1380" s="815"/>
      <c r="P1380" s="164"/>
      <c r="Q1380" s="524"/>
      <c r="R1380" s="524"/>
      <c r="S1380" s="30" t="s">
        <v>6413</v>
      </c>
      <c r="T1380" s="30"/>
      <c r="U1380" s="30"/>
      <c r="X1380" s="16"/>
      <c r="Y1380" s="16"/>
    </row>
    <row r="1381" spans="1:25" s="42" customFormat="1" ht="15">
      <c r="A1381" s="740"/>
      <c r="B1381" s="715" t="s">
        <v>6397</v>
      </c>
      <c r="C1381" s="164"/>
      <c r="D1381" s="444"/>
      <c r="E1381" s="647"/>
      <c r="H1381" s="283"/>
      <c r="I1381" s="283"/>
      <c r="K1381" s="283"/>
      <c r="L1381" s="283"/>
      <c r="M1381" s="283"/>
      <c r="N1381" s="283"/>
      <c r="O1381" s="815"/>
      <c r="P1381" s="164"/>
      <c r="Q1381" s="524"/>
      <c r="R1381" s="524"/>
      <c r="S1381" s="30"/>
      <c r="T1381" s="30"/>
      <c r="U1381" s="30"/>
      <c r="X1381" s="16"/>
      <c r="Y1381" s="16"/>
    </row>
    <row r="1382" spans="1:25" s="42" customFormat="1" ht="15">
      <c r="A1382" s="740"/>
      <c r="B1382" s="715" t="s">
        <v>6398</v>
      </c>
      <c r="C1382" s="164"/>
      <c r="D1382" s="444"/>
      <c r="E1382" s="647"/>
      <c r="H1382" s="283"/>
      <c r="I1382" s="283"/>
      <c r="K1382" s="283"/>
      <c r="L1382" s="283"/>
      <c r="M1382" s="283"/>
      <c r="N1382" s="283"/>
      <c r="O1382" s="815"/>
      <c r="P1382" s="164"/>
      <c r="Q1382" s="524"/>
      <c r="R1382" s="524"/>
      <c r="S1382" s="30"/>
      <c r="T1382" s="30"/>
      <c r="U1382" s="30"/>
      <c r="X1382" s="16"/>
      <c r="Y1382" s="16"/>
    </row>
    <row r="1383" spans="1:25" s="42" customFormat="1" ht="15">
      <c r="A1383" s="740"/>
      <c r="B1383" s="715" t="s">
        <v>6399</v>
      </c>
      <c r="C1383" s="164"/>
      <c r="D1383" s="444"/>
      <c r="E1383" s="647"/>
      <c r="H1383" s="283"/>
      <c r="I1383" s="283"/>
      <c r="K1383" s="283"/>
      <c r="L1383" s="283"/>
      <c r="M1383" s="283"/>
      <c r="N1383" s="283"/>
      <c r="O1383" s="815"/>
      <c r="P1383" s="164"/>
      <c r="Q1383" s="524"/>
      <c r="R1383" s="524"/>
      <c r="S1383" s="1168" t="s">
        <v>6414</v>
      </c>
      <c r="T1383" s="1168"/>
      <c r="U1383" s="1168"/>
      <c r="X1383" s="16"/>
      <c r="Y1383" s="16"/>
    </row>
    <row r="1384" spans="1:25" s="42" customFormat="1" ht="15">
      <c r="A1384" s="740"/>
      <c r="B1384" s="715" t="s">
        <v>6400</v>
      </c>
      <c r="C1384" s="164"/>
      <c r="D1384" s="444"/>
      <c r="E1384" s="647"/>
      <c r="H1384" s="283"/>
      <c r="I1384" s="283"/>
      <c r="K1384" s="283"/>
      <c r="L1384" s="283"/>
      <c r="M1384" s="283"/>
      <c r="N1384" s="283"/>
      <c r="O1384" s="815"/>
      <c r="P1384" s="164"/>
      <c r="Q1384" s="524"/>
      <c r="R1384" s="524"/>
      <c r="S1384" s="30"/>
      <c r="T1384" s="30"/>
      <c r="U1384" s="30"/>
      <c r="X1384" s="16"/>
      <c r="Y1384" s="16"/>
    </row>
    <row r="1385" spans="1:25" s="42" customFormat="1" ht="15">
      <c r="A1385" s="740"/>
      <c r="B1385" s="715" t="s">
        <v>6401</v>
      </c>
      <c r="C1385" s="164"/>
      <c r="D1385" s="444"/>
      <c r="E1385" s="647"/>
      <c r="H1385" s="283"/>
      <c r="I1385" s="283"/>
      <c r="K1385" s="283"/>
      <c r="L1385" s="283"/>
      <c r="M1385" s="283"/>
      <c r="N1385" s="283"/>
      <c r="O1385" s="815"/>
      <c r="P1385" s="164"/>
      <c r="Q1385" s="524"/>
      <c r="R1385" s="524"/>
      <c r="S1385" s="30"/>
      <c r="T1385" s="30"/>
      <c r="U1385" s="30"/>
      <c r="X1385" s="16"/>
      <c r="Y1385" s="16"/>
    </row>
    <row r="1386" spans="1:25" s="42" customFormat="1" ht="23.25">
      <c r="A1386" s="740"/>
      <c r="B1386" s="715" t="s">
        <v>6402</v>
      </c>
      <c r="C1386" s="164"/>
      <c r="D1386" s="444"/>
      <c r="E1386" s="647"/>
      <c r="H1386" s="283"/>
      <c r="I1386" s="283"/>
      <c r="K1386" s="283"/>
      <c r="L1386" s="283"/>
      <c r="M1386" s="283"/>
      <c r="N1386" s="283"/>
      <c r="O1386" s="815"/>
      <c r="P1386" s="164"/>
      <c r="Q1386" s="524"/>
      <c r="R1386" s="524"/>
      <c r="S1386" s="1168" t="s">
        <v>6415</v>
      </c>
      <c r="T1386" s="1168"/>
      <c r="U1386" s="1168"/>
      <c r="X1386" s="16"/>
      <c r="Y1386" s="16"/>
    </row>
    <row r="1387" spans="1:25" s="42" customFormat="1" ht="90.75">
      <c r="A1387" s="740"/>
      <c r="B1387" s="715" t="s">
        <v>6403</v>
      </c>
      <c r="C1387" s="164"/>
      <c r="D1387" s="444"/>
      <c r="E1387" s="647"/>
      <c r="H1387" s="283"/>
      <c r="I1387" s="283"/>
      <c r="K1387" s="283"/>
      <c r="L1387" s="283"/>
      <c r="M1387" s="283"/>
      <c r="N1387" s="283"/>
      <c r="O1387" s="815"/>
      <c r="P1387" s="164"/>
      <c r="Q1387" s="524"/>
      <c r="R1387" s="524"/>
      <c r="S1387" s="1168" t="s">
        <v>6416</v>
      </c>
      <c r="T1387" s="1168"/>
      <c r="U1387" s="1168"/>
      <c r="X1387" s="16"/>
      <c r="Y1387" s="16"/>
    </row>
    <row r="1388" spans="1:25" s="42" customFormat="1" ht="15">
      <c r="A1388" s="740"/>
      <c r="B1388" s="715" t="s">
        <v>6404</v>
      </c>
      <c r="C1388" s="164"/>
      <c r="D1388" s="444"/>
      <c r="E1388" s="647"/>
      <c r="H1388" s="283"/>
      <c r="I1388" s="283"/>
      <c r="K1388" s="283"/>
      <c r="L1388" s="283"/>
      <c r="M1388" s="283"/>
      <c r="N1388" s="283"/>
      <c r="O1388" s="815"/>
      <c r="P1388" s="164"/>
      <c r="Q1388" s="524"/>
      <c r="R1388" s="524"/>
      <c r="S1388" s="30"/>
      <c r="T1388" s="30"/>
      <c r="U1388" s="30"/>
      <c r="X1388" s="16"/>
      <c r="Y1388" s="16"/>
    </row>
    <row r="1389" spans="1:25" s="42" customFormat="1" ht="15">
      <c r="A1389" s="740"/>
      <c r="B1389" s="715" t="s">
        <v>6405</v>
      </c>
      <c r="C1389" s="164"/>
      <c r="D1389" s="444"/>
      <c r="E1389" s="647"/>
      <c r="H1389" s="283"/>
      <c r="I1389" s="283"/>
      <c r="K1389" s="283"/>
      <c r="L1389" s="283"/>
      <c r="M1389" s="283"/>
      <c r="N1389" s="283"/>
      <c r="O1389" s="815"/>
      <c r="P1389" s="164"/>
      <c r="Q1389" s="524"/>
      <c r="R1389" s="524"/>
      <c r="S1389" s="30"/>
      <c r="T1389" s="30"/>
      <c r="U1389" s="30"/>
      <c r="X1389" s="16"/>
      <c r="Y1389" s="16"/>
    </row>
    <row r="1390" spans="1:25" s="42" customFormat="1" ht="45">
      <c r="A1390" s="740"/>
      <c r="B1390" s="715" t="s">
        <v>6406</v>
      </c>
      <c r="C1390" s="164"/>
      <c r="D1390" s="444"/>
      <c r="E1390" s="647"/>
      <c r="H1390" s="283"/>
      <c r="I1390" s="283"/>
      <c r="K1390" s="283"/>
      <c r="L1390" s="283"/>
      <c r="M1390" s="283"/>
      <c r="N1390" s="283"/>
      <c r="O1390" s="815"/>
      <c r="P1390" s="164"/>
      <c r="Q1390" s="524"/>
      <c r="R1390" s="524"/>
      <c r="S1390" s="1174" t="s">
        <v>6417</v>
      </c>
      <c r="T1390" s="1174"/>
      <c r="U1390" s="1174"/>
      <c r="X1390" s="16"/>
      <c r="Y1390" s="16"/>
    </row>
    <row r="1391" spans="1:25" s="42" customFormat="1" ht="15">
      <c r="A1391" s="740"/>
      <c r="B1391" s="446"/>
      <c r="C1391" s="164"/>
      <c r="D1391" s="444"/>
      <c r="E1391" s="647"/>
      <c r="H1391" s="283"/>
      <c r="I1391" s="283"/>
      <c r="K1391" s="283"/>
      <c r="L1391" s="283"/>
      <c r="M1391" s="283"/>
      <c r="N1391" s="283"/>
      <c r="O1391" s="815"/>
      <c r="P1391" s="164"/>
      <c r="Q1391" s="524"/>
      <c r="R1391" s="524"/>
      <c r="S1391" s="933"/>
      <c r="T1391" s="933"/>
      <c r="U1391" s="933"/>
      <c r="X1391" s="16"/>
      <c r="Y1391" s="16"/>
    </row>
    <row r="1392" spans="1:25" s="42" customFormat="1" ht="15">
      <c r="A1392" s="740"/>
      <c r="B1392" s="446" t="s">
        <v>1700</v>
      </c>
      <c r="C1392" s="164" t="s">
        <v>2470</v>
      </c>
      <c r="D1392" s="444">
        <v>40899</v>
      </c>
      <c r="E1392" s="647"/>
      <c r="F1392" s="42" t="s">
        <v>315</v>
      </c>
      <c r="H1392" s="283"/>
      <c r="I1392" s="283"/>
      <c r="K1392" s="283">
        <v>259000</v>
      </c>
      <c r="L1392" s="283"/>
      <c r="M1392" s="283">
        <f t="shared" si="98"/>
        <v>259000</v>
      </c>
      <c r="N1392" s="283"/>
      <c r="O1392" s="815"/>
      <c r="P1392" s="164" t="s">
        <v>104</v>
      </c>
      <c r="Q1392" s="524">
        <v>259000</v>
      </c>
      <c r="R1392" s="524">
        <v>259000</v>
      </c>
      <c r="S1392" s="933">
        <v>0</v>
      </c>
      <c r="T1392" s="933"/>
      <c r="U1392" s="933"/>
      <c r="W1392" s="42" t="s">
        <v>2002</v>
      </c>
      <c r="X1392" s="16">
        <f t="shared" si="97"/>
        <v>259000</v>
      </c>
      <c r="Y1392" s="16">
        <f>X1392-M1392</f>
        <v>0</v>
      </c>
    </row>
    <row r="1393" spans="1:25" s="42" customFormat="1" ht="15">
      <c r="A1393" s="740"/>
      <c r="B1393" s="534" t="s">
        <v>416</v>
      </c>
      <c r="C1393" s="164"/>
      <c r="D1393" s="444"/>
      <c r="E1393" s="647"/>
      <c r="H1393" s="283"/>
      <c r="I1393" s="283"/>
      <c r="K1393" s="283"/>
      <c r="L1393" s="283"/>
      <c r="M1393" s="283"/>
      <c r="N1393" s="283"/>
      <c r="O1393" s="815"/>
      <c r="P1393" s="164"/>
      <c r="Q1393" s="524"/>
      <c r="R1393" s="524"/>
      <c r="S1393" s="933">
        <v>0</v>
      </c>
      <c r="T1393" s="933"/>
      <c r="U1393" s="933"/>
      <c r="X1393" s="16"/>
      <c r="Y1393" s="16"/>
    </row>
    <row r="1394" spans="1:25" s="42" customFormat="1" ht="15">
      <c r="A1394" s="740"/>
      <c r="B1394" s="534" t="s">
        <v>5712</v>
      </c>
      <c r="C1394" s="164"/>
      <c r="D1394" s="444"/>
      <c r="E1394" s="647"/>
      <c r="H1394" s="283"/>
      <c r="I1394" s="283"/>
      <c r="K1394" s="283"/>
      <c r="L1394" s="283"/>
      <c r="M1394" s="283"/>
      <c r="N1394" s="283"/>
      <c r="O1394" s="815"/>
      <c r="P1394" s="164"/>
      <c r="Q1394" s="524"/>
      <c r="R1394" s="524"/>
      <c r="S1394" s="933">
        <v>0</v>
      </c>
      <c r="T1394" s="933"/>
      <c r="U1394" s="933"/>
      <c r="X1394" s="16"/>
      <c r="Y1394" s="16"/>
    </row>
    <row r="1395" spans="1:25" s="42" customFormat="1" ht="15">
      <c r="A1395" s="740"/>
      <c r="B1395" s="534" t="s">
        <v>4220</v>
      </c>
      <c r="C1395" s="164"/>
      <c r="D1395" s="444"/>
      <c r="E1395" s="647"/>
      <c r="H1395" s="283"/>
      <c r="I1395" s="283"/>
      <c r="K1395" s="283"/>
      <c r="L1395" s="283"/>
      <c r="M1395" s="283"/>
      <c r="N1395" s="283"/>
      <c r="O1395" s="815"/>
      <c r="P1395" s="164"/>
      <c r="Q1395" s="524"/>
      <c r="R1395" s="524"/>
      <c r="S1395" s="933">
        <v>0</v>
      </c>
      <c r="T1395" s="933"/>
      <c r="U1395" s="933"/>
      <c r="X1395" s="16"/>
      <c r="Y1395" s="16"/>
    </row>
    <row r="1396" spans="1:25" s="42" customFormat="1" ht="15">
      <c r="A1396" s="740"/>
      <c r="B1396" s="534" t="s">
        <v>3541</v>
      </c>
      <c r="C1396" s="164"/>
      <c r="D1396" s="444"/>
      <c r="E1396" s="647"/>
      <c r="H1396" s="283"/>
      <c r="I1396" s="283"/>
      <c r="K1396" s="283"/>
      <c r="L1396" s="283"/>
      <c r="M1396" s="283"/>
      <c r="N1396" s="283"/>
      <c r="O1396" s="815"/>
      <c r="P1396" s="164"/>
      <c r="Q1396" s="524"/>
      <c r="R1396" s="524"/>
      <c r="S1396" s="933">
        <v>800000</v>
      </c>
      <c r="T1396" s="933"/>
      <c r="U1396" s="933"/>
      <c r="X1396" s="16"/>
      <c r="Y1396" s="16"/>
    </row>
    <row r="1397" spans="1:25" s="42" customFormat="1" ht="15">
      <c r="A1397" s="740"/>
      <c r="B1397" s="534" t="s">
        <v>4220</v>
      </c>
      <c r="C1397" s="164"/>
      <c r="D1397" s="444"/>
      <c r="E1397" s="647"/>
      <c r="H1397" s="283"/>
      <c r="I1397" s="283"/>
      <c r="K1397" s="283"/>
      <c r="L1397" s="283"/>
      <c r="M1397" s="283"/>
      <c r="N1397" s="283"/>
      <c r="O1397" s="815"/>
      <c r="P1397" s="164"/>
      <c r="Q1397" s="524"/>
      <c r="R1397" s="524"/>
      <c r="S1397" s="933">
        <v>0</v>
      </c>
      <c r="T1397" s="933"/>
      <c r="U1397" s="933"/>
      <c r="X1397" s="16"/>
      <c r="Y1397" s="16"/>
    </row>
    <row r="1398" spans="1:25" s="42" customFormat="1" ht="15">
      <c r="A1398" s="740"/>
      <c r="B1398" s="534" t="s">
        <v>4220</v>
      </c>
      <c r="C1398" s="164"/>
      <c r="D1398" s="444"/>
      <c r="E1398" s="647"/>
      <c r="H1398" s="283"/>
      <c r="I1398" s="283"/>
      <c r="K1398" s="283"/>
      <c r="L1398" s="283"/>
      <c r="M1398" s="283"/>
      <c r="N1398" s="283"/>
      <c r="O1398" s="815"/>
      <c r="P1398" s="164"/>
      <c r="Q1398" s="524"/>
      <c r="R1398" s="524"/>
      <c r="S1398" s="933">
        <v>0</v>
      </c>
      <c r="T1398" s="933"/>
      <c r="U1398" s="933"/>
      <c r="X1398" s="16"/>
      <c r="Y1398" s="16"/>
    </row>
    <row r="1399" spans="1:25" s="42" customFormat="1" ht="15">
      <c r="A1399" s="740"/>
      <c r="B1399" s="534" t="s">
        <v>4220</v>
      </c>
      <c r="C1399" s="164"/>
      <c r="D1399" s="444"/>
      <c r="E1399" s="647"/>
      <c r="H1399" s="283"/>
      <c r="I1399" s="283"/>
      <c r="K1399" s="283"/>
      <c r="L1399" s="283"/>
      <c r="M1399" s="283"/>
      <c r="N1399" s="283"/>
      <c r="O1399" s="815"/>
      <c r="P1399" s="164"/>
      <c r="Q1399" s="524"/>
      <c r="R1399" s="524"/>
      <c r="S1399" s="933">
        <v>0</v>
      </c>
      <c r="T1399" s="933"/>
      <c r="U1399" s="933"/>
      <c r="X1399" s="16"/>
      <c r="Y1399" s="16"/>
    </row>
    <row r="1400" spans="1:25" s="42" customFormat="1" ht="15">
      <c r="A1400" s="740"/>
      <c r="B1400" s="534" t="s">
        <v>5710</v>
      </c>
      <c r="C1400" s="164"/>
      <c r="D1400" s="444"/>
      <c r="E1400" s="647"/>
      <c r="H1400" s="283"/>
      <c r="I1400" s="283"/>
      <c r="K1400" s="283"/>
      <c r="L1400" s="283"/>
      <c r="M1400" s="283"/>
      <c r="N1400" s="283"/>
      <c r="O1400" s="815"/>
      <c r="P1400" s="164"/>
      <c r="Q1400" s="524"/>
      <c r="R1400" s="524"/>
      <c r="S1400" s="933">
        <v>973145.46</v>
      </c>
      <c r="T1400" s="933"/>
      <c r="U1400" s="933"/>
      <c r="X1400" s="16"/>
      <c r="Y1400" s="16"/>
    </row>
    <row r="1401" spans="1:25" s="42" customFormat="1" ht="15">
      <c r="A1401" s="740"/>
      <c r="B1401" s="534" t="s">
        <v>4220</v>
      </c>
      <c r="C1401" s="164"/>
      <c r="D1401" s="444"/>
      <c r="E1401" s="647"/>
      <c r="H1401" s="283"/>
      <c r="I1401" s="283"/>
      <c r="K1401" s="283"/>
      <c r="L1401" s="283"/>
      <c r="M1401" s="283"/>
      <c r="N1401" s="283"/>
      <c r="O1401" s="815"/>
      <c r="P1401" s="164"/>
      <c r="Q1401" s="524"/>
      <c r="R1401" s="524"/>
      <c r="S1401" s="933">
        <v>0</v>
      </c>
      <c r="T1401" s="933"/>
      <c r="U1401" s="933"/>
      <c r="X1401" s="16"/>
      <c r="Y1401" s="16"/>
    </row>
    <row r="1402" spans="1:25" s="42" customFormat="1" ht="15">
      <c r="A1402" s="740"/>
      <c r="B1402" s="534" t="s">
        <v>5711</v>
      </c>
      <c r="C1402" s="164"/>
      <c r="D1402" s="444"/>
      <c r="E1402" s="647"/>
      <c r="H1402" s="283"/>
      <c r="I1402" s="283"/>
      <c r="K1402" s="283"/>
      <c r="L1402" s="283"/>
      <c r="M1402" s="283"/>
      <c r="N1402" s="283"/>
      <c r="O1402" s="815"/>
      <c r="P1402" s="164"/>
      <c r="Q1402" s="524"/>
      <c r="R1402" s="524"/>
      <c r="S1402" s="933">
        <v>0</v>
      </c>
      <c r="T1402" s="933"/>
      <c r="U1402" s="933"/>
      <c r="X1402" s="16"/>
      <c r="Y1402" s="16"/>
    </row>
    <row r="1403" spans="1:25" s="42" customFormat="1" ht="15">
      <c r="A1403" s="740"/>
      <c r="B1403" s="534" t="s">
        <v>3541</v>
      </c>
      <c r="C1403" s="164"/>
      <c r="D1403" s="444"/>
      <c r="E1403" s="647"/>
      <c r="H1403" s="283"/>
      <c r="I1403" s="283"/>
      <c r="K1403" s="283"/>
      <c r="L1403" s="283"/>
      <c r="M1403" s="283"/>
      <c r="N1403" s="283"/>
      <c r="O1403" s="815"/>
      <c r="P1403" s="164"/>
      <c r="Q1403" s="524"/>
      <c r="R1403" s="524"/>
      <c r="S1403" s="933">
        <v>700000</v>
      </c>
      <c r="T1403" s="933"/>
      <c r="U1403" s="933"/>
      <c r="X1403" s="16"/>
      <c r="Y1403" s="16"/>
    </row>
    <row r="1404" spans="1:25" s="42" customFormat="1" ht="15">
      <c r="A1404" s="740"/>
      <c r="B1404" s="534" t="s">
        <v>4220</v>
      </c>
      <c r="C1404" s="164"/>
      <c r="D1404" s="444"/>
      <c r="E1404" s="647"/>
      <c r="H1404" s="283"/>
      <c r="I1404" s="283"/>
      <c r="K1404" s="283"/>
      <c r="L1404" s="283"/>
      <c r="M1404" s="283"/>
      <c r="N1404" s="283"/>
      <c r="O1404" s="815"/>
      <c r="P1404" s="164"/>
      <c r="Q1404" s="524"/>
      <c r="R1404" s="524"/>
      <c r="S1404" s="933">
        <v>0</v>
      </c>
      <c r="T1404" s="933"/>
      <c r="U1404" s="933"/>
      <c r="X1404" s="16"/>
      <c r="Y1404" s="16"/>
    </row>
    <row r="1405" spans="1:25" s="42" customFormat="1" ht="15">
      <c r="A1405" s="740"/>
      <c r="B1405" s="534" t="s">
        <v>3541</v>
      </c>
      <c r="C1405" s="164"/>
      <c r="D1405" s="444"/>
      <c r="E1405" s="647"/>
      <c r="H1405" s="283"/>
      <c r="I1405" s="283"/>
      <c r="K1405" s="283"/>
      <c r="L1405" s="283"/>
      <c r="M1405" s="283"/>
      <c r="N1405" s="283"/>
      <c r="O1405" s="815"/>
      <c r="P1405" s="164"/>
      <c r="Q1405" s="524"/>
      <c r="R1405" s="524"/>
      <c r="S1405" s="933">
        <v>0</v>
      </c>
      <c r="T1405" s="933"/>
      <c r="U1405" s="933"/>
      <c r="X1405" s="16"/>
      <c r="Y1405" s="16"/>
    </row>
    <row r="1406" spans="1:25" s="42" customFormat="1" ht="15">
      <c r="A1406" s="740"/>
      <c r="B1406" s="534" t="s">
        <v>4220</v>
      </c>
      <c r="C1406" s="164"/>
      <c r="D1406" s="444"/>
      <c r="E1406" s="647"/>
      <c r="H1406" s="283"/>
      <c r="I1406" s="283"/>
      <c r="K1406" s="283"/>
      <c r="L1406" s="283"/>
      <c r="M1406" s="283"/>
      <c r="N1406" s="283"/>
      <c r="O1406" s="815"/>
      <c r="P1406" s="164"/>
      <c r="Q1406" s="524"/>
      <c r="R1406" s="524"/>
      <c r="S1406" s="933">
        <v>0</v>
      </c>
      <c r="T1406" s="933"/>
      <c r="U1406" s="933"/>
      <c r="X1406" s="16"/>
      <c r="Y1406" s="16"/>
    </row>
    <row r="1407" spans="1:25" s="42" customFormat="1" ht="15">
      <c r="A1407" s="740"/>
      <c r="B1407" s="534" t="s">
        <v>5711</v>
      </c>
      <c r="C1407" s="164"/>
      <c r="D1407" s="444"/>
      <c r="E1407" s="647"/>
      <c r="H1407" s="283"/>
      <c r="I1407" s="283"/>
      <c r="K1407" s="283"/>
      <c r="L1407" s="283"/>
      <c r="M1407" s="283"/>
      <c r="N1407" s="283"/>
      <c r="O1407" s="815"/>
      <c r="P1407" s="164"/>
      <c r="Q1407" s="524"/>
      <c r="R1407" s="524"/>
      <c r="S1407" s="933">
        <v>0</v>
      </c>
      <c r="T1407" s="933"/>
      <c r="U1407" s="933"/>
      <c r="X1407" s="16"/>
      <c r="Y1407" s="16"/>
    </row>
    <row r="1408" spans="1:25" s="42" customFormat="1" ht="15">
      <c r="A1408" s="740"/>
      <c r="B1408" s="534" t="s">
        <v>3541</v>
      </c>
      <c r="C1408" s="164"/>
      <c r="D1408" s="444"/>
      <c r="E1408" s="647"/>
      <c r="H1408" s="283"/>
      <c r="I1408" s="283"/>
      <c r="K1408" s="283"/>
      <c r="L1408" s="283"/>
      <c r="M1408" s="283"/>
      <c r="N1408" s="283"/>
      <c r="O1408" s="815"/>
      <c r="P1408" s="164"/>
      <c r="Q1408" s="524"/>
      <c r="R1408" s="524"/>
      <c r="S1408" s="933">
        <v>1000000</v>
      </c>
      <c r="T1408" s="933"/>
      <c r="U1408" s="933"/>
      <c r="X1408" s="16"/>
      <c r="Y1408" s="16"/>
    </row>
    <row r="1409" spans="1:25" s="42" customFormat="1" ht="15">
      <c r="A1409" s="740"/>
      <c r="B1409" s="534" t="s">
        <v>5712</v>
      </c>
      <c r="C1409" s="164"/>
      <c r="D1409" s="444"/>
      <c r="E1409" s="647"/>
      <c r="H1409" s="283"/>
      <c r="I1409" s="283"/>
      <c r="K1409" s="283"/>
      <c r="L1409" s="283"/>
      <c r="M1409" s="283"/>
      <c r="N1409" s="283"/>
      <c r="O1409" s="815"/>
      <c r="P1409" s="164"/>
      <c r="Q1409" s="524"/>
      <c r="R1409" s="524"/>
      <c r="S1409" s="933">
        <v>0</v>
      </c>
      <c r="T1409" s="933"/>
      <c r="U1409" s="933"/>
      <c r="X1409" s="16"/>
      <c r="Y1409" s="16"/>
    </row>
    <row r="1410" spans="1:25" s="42" customFormat="1" ht="15">
      <c r="A1410" s="740"/>
      <c r="B1410" s="534" t="s">
        <v>3541</v>
      </c>
      <c r="C1410" s="164"/>
      <c r="D1410" s="444"/>
      <c r="E1410" s="647"/>
      <c r="H1410" s="283"/>
      <c r="I1410" s="283"/>
      <c r="K1410" s="283"/>
      <c r="L1410" s="283"/>
      <c r="M1410" s="283"/>
      <c r="N1410" s="283"/>
      <c r="O1410" s="815"/>
      <c r="P1410" s="164"/>
      <c r="Q1410" s="524"/>
      <c r="R1410" s="524"/>
      <c r="S1410" s="933">
        <v>0</v>
      </c>
      <c r="T1410" s="933"/>
      <c r="U1410" s="933"/>
      <c r="X1410" s="16"/>
      <c r="Y1410" s="16"/>
    </row>
    <row r="1411" spans="1:25" s="42" customFormat="1" ht="15">
      <c r="A1411" s="740"/>
      <c r="B1411" s="534" t="s">
        <v>3541</v>
      </c>
      <c r="C1411" s="164"/>
      <c r="D1411" s="444"/>
      <c r="E1411" s="647"/>
      <c r="H1411" s="283"/>
      <c r="I1411" s="283"/>
      <c r="K1411" s="283"/>
      <c r="L1411" s="283"/>
      <c r="M1411" s="283"/>
      <c r="N1411" s="283"/>
      <c r="O1411" s="815"/>
      <c r="P1411" s="164"/>
      <c r="Q1411" s="524"/>
      <c r="R1411" s="524"/>
      <c r="S1411" s="933">
        <v>1000000</v>
      </c>
      <c r="T1411" s="933"/>
      <c r="U1411" s="933"/>
      <c r="X1411" s="16"/>
      <c r="Y1411" s="16"/>
    </row>
    <row r="1412" spans="1:25" s="42" customFormat="1" ht="15">
      <c r="A1412" s="740"/>
      <c r="B1412" s="534" t="s">
        <v>4220</v>
      </c>
      <c r="C1412" s="164"/>
      <c r="D1412" s="444"/>
      <c r="E1412" s="647"/>
      <c r="H1412" s="283"/>
      <c r="I1412" s="283"/>
      <c r="K1412" s="283"/>
      <c r="L1412" s="283"/>
      <c r="M1412" s="283"/>
      <c r="N1412" s="283"/>
      <c r="O1412" s="815"/>
      <c r="P1412" s="164"/>
      <c r="Q1412" s="524"/>
      <c r="R1412" s="524"/>
      <c r="S1412" s="933">
        <v>0</v>
      </c>
      <c r="T1412" s="933"/>
      <c r="U1412" s="933"/>
      <c r="X1412" s="16"/>
      <c r="Y1412" s="16"/>
    </row>
    <row r="1413" spans="1:25" s="42" customFormat="1" ht="15">
      <c r="A1413" s="740"/>
      <c r="B1413" s="534" t="s">
        <v>5711</v>
      </c>
      <c r="C1413" s="164"/>
      <c r="D1413" s="444"/>
      <c r="E1413" s="647"/>
      <c r="H1413" s="283"/>
      <c r="I1413" s="283"/>
      <c r="K1413" s="283"/>
      <c r="L1413" s="283"/>
      <c r="M1413" s="283"/>
      <c r="N1413" s="283"/>
      <c r="O1413" s="815"/>
      <c r="P1413" s="164"/>
      <c r="Q1413" s="524"/>
      <c r="R1413" s="524"/>
      <c r="S1413" s="933">
        <v>600000</v>
      </c>
      <c r="T1413" s="933"/>
      <c r="U1413" s="933"/>
      <c r="X1413" s="16"/>
      <c r="Y1413" s="16"/>
    </row>
    <row r="1414" spans="1:25" s="42" customFormat="1" ht="15">
      <c r="A1414" s="740"/>
      <c r="B1414" s="534" t="s">
        <v>3541</v>
      </c>
      <c r="C1414" s="164"/>
      <c r="D1414" s="444"/>
      <c r="E1414" s="647"/>
      <c r="H1414" s="283"/>
      <c r="I1414" s="283"/>
      <c r="K1414" s="283"/>
      <c r="L1414" s="283"/>
      <c r="M1414" s="283"/>
      <c r="N1414" s="283"/>
      <c r="O1414" s="815"/>
      <c r="P1414" s="164"/>
      <c r="Q1414" s="524"/>
      <c r="R1414" s="524"/>
      <c r="S1414" s="933">
        <v>0</v>
      </c>
      <c r="T1414" s="933"/>
      <c r="U1414" s="933"/>
      <c r="X1414" s="16"/>
      <c r="Y1414" s="16"/>
    </row>
    <row r="1415" spans="1:25" s="42" customFormat="1" ht="15">
      <c r="A1415" s="740"/>
      <c r="B1415" s="534" t="s">
        <v>5712</v>
      </c>
      <c r="C1415" s="164"/>
      <c r="D1415" s="444"/>
      <c r="E1415" s="647"/>
      <c r="H1415" s="283"/>
      <c r="I1415" s="283"/>
      <c r="K1415" s="283"/>
      <c r="L1415" s="283"/>
      <c r="M1415" s="283"/>
      <c r="N1415" s="283"/>
      <c r="O1415" s="815"/>
      <c r="P1415" s="164"/>
      <c r="Q1415" s="524"/>
      <c r="R1415" s="524"/>
      <c r="S1415" s="933">
        <v>1000000</v>
      </c>
      <c r="T1415" s="933"/>
      <c r="U1415" s="933"/>
      <c r="X1415" s="16"/>
      <c r="Y1415" s="16"/>
    </row>
    <row r="1416" spans="1:25" s="42" customFormat="1" ht="15">
      <c r="A1416" s="740"/>
      <c r="B1416" s="534" t="s">
        <v>5711</v>
      </c>
      <c r="C1416" s="164"/>
      <c r="D1416" s="444"/>
      <c r="E1416" s="647"/>
      <c r="H1416" s="283"/>
      <c r="I1416" s="283"/>
      <c r="K1416" s="283"/>
      <c r="L1416" s="283"/>
      <c r="M1416" s="283"/>
      <c r="N1416" s="283"/>
      <c r="O1416" s="815"/>
      <c r="P1416" s="164"/>
      <c r="Q1416" s="524"/>
      <c r="R1416" s="524"/>
      <c r="S1416" s="933">
        <v>0</v>
      </c>
      <c r="T1416" s="933"/>
      <c r="U1416" s="933"/>
      <c r="X1416" s="16"/>
      <c r="Y1416" s="16"/>
    </row>
    <row r="1417" spans="1:25" s="42" customFormat="1" ht="15">
      <c r="A1417" s="740"/>
      <c r="B1417" s="534" t="s">
        <v>3541</v>
      </c>
      <c r="C1417" s="164"/>
      <c r="D1417" s="444"/>
      <c r="E1417" s="647"/>
      <c r="H1417" s="283"/>
      <c r="I1417" s="283"/>
      <c r="K1417" s="283"/>
      <c r="L1417" s="283"/>
      <c r="M1417" s="283"/>
      <c r="N1417" s="283"/>
      <c r="O1417" s="815"/>
      <c r="P1417" s="164"/>
      <c r="Q1417" s="524"/>
      <c r="R1417" s="524"/>
      <c r="S1417" s="933">
        <v>699744</v>
      </c>
      <c r="T1417" s="933"/>
      <c r="U1417" s="933"/>
      <c r="X1417" s="16"/>
      <c r="Y1417" s="16"/>
    </row>
    <row r="1418" spans="1:25" s="42" customFormat="1" ht="15">
      <c r="A1418" s="740"/>
      <c r="B1418" s="534" t="s">
        <v>4220</v>
      </c>
      <c r="C1418" s="164"/>
      <c r="D1418" s="444"/>
      <c r="E1418" s="647"/>
      <c r="H1418" s="283"/>
      <c r="I1418" s="283"/>
      <c r="K1418" s="283"/>
      <c r="L1418" s="283"/>
      <c r="M1418" s="283"/>
      <c r="N1418" s="283"/>
      <c r="O1418" s="815"/>
      <c r="P1418" s="164"/>
      <c r="Q1418" s="524"/>
      <c r="R1418" s="524"/>
      <c r="S1418" s="933">
        <v>0</v>
      </c>
      <c r="T1418" s="933"/>
      <c r="U1418" s="933"/>
      <c r="X1418" s="16"/>
      <c r="Y1418" s="16"/>
    </row>
    <row r="1419" spans="1:25" s="42" customFormat="1" ht="15">
      <c r="A1419" s="740"/>
      <c r="B1419" s="534" t="s">
        <v>5710</v>
      </c>
      <c r="C1419" s="164"/>
      <c r="D1419" s="444"/>
      <c r="E1419" s="647"/>
      <c r="H1419" s="283"/>
      <c r="I1419" s="283"/>
      <c r="K1419" s="283"/>
      <c r="L1419" s="283"/>
      <c r="M1419" s="283"/>
      <c r="N1419" s="283"/>
      <c r="O1419" s="815"/>
      <c r="P1419" s="164"/>
      <c r="Q1419" s="524"/>
      <c r="R1419" s="524"/>
      <c r="S1419" s="933">
        <v>1000000</v>
      </c>
      <c r="T1419" s="933"/>
      <c r="U1419" s="933"/>
      <c r="X1419" s="16"/>
      <c r="Y1419" s="16"/>
    </row>
    <row r="1420" spans="1:25" s="42" customFormat="1" ht="15">
      <c r="A1420" s="740"/>
      <c r="B1420" s="534" t="s">
        <v>5712</v>
      </c>
      <c r="C1420" s="164"/>
      <c r="D1420" s="444"/>
      <c r="E1420" s="647"/>
      <c r="H1420" s="283"/>
      <c r="I1420" s="283"/>
      <c r="K1420" s="283"/>
      <c r="L1420" s="283"/>
      <c r="M1420" s="283"/>
      <c r="N1420" s="283"/>
      <c r="O1420" s="815"/>
      <c r="P1420" s="164"/>
      <c r="Q1420" s="524"/>
      <c r="R1420" s="524"/>
      <c r="S1420" s="933">
        <v>0</v>
      </c>
      <c r="T1420" s="933"/>
      <c r="U1420" s="933"/>
      <c r="X1420" s="16"/>
      <c r="Y1420" s="16"/>
    </row>
    <row r="1421" spans="1:25" s="42" customFormat="1" ht="15">
      <c r="A1421" s="740"/>
      <c r="B1421" s="534" t="s">
        <v>4220</v>
      </c>
      <c r="C1421" s="164"/>
      <c r="D1421" s="444"/>
      <c r="E1421" s="647"/>
      <c r="H1421" s="283"/>
      <c r="I1421" s="283"/>
      <c r="K1421" s="283"/>
      <c r="L1421" s="283"/>
      <c r="M1421" s="283"/>
      <c r="N1421" s="283"/>
      <c r="O1421" s="815"/>
      <c r="P1421" s="164"/>
      <c r="Q1421" s="524"/>
      <c r="R1421" s="524"/>
      <c r="S1421" s="933">
        <v>0</v>
      </c>
      <c r="T1421" s="933"/>
      <c r="U1421" s="933"/>
      <c r="X1421" s="16"/>
      <c r="Y1421" s="16"/>
    </row>
    <row r="1422" spans="1:25" s="42" customFormat="1" ht="15">
      <c r="A1422" s="740"/>
      <c r="B1422" s="534" t="s">
        <v>4220</v>
      </c>
      <c r="C1422" s="164"/>
      <c r="D1422" s="444"/>
      <c r="E1422" s="647"/>
      <c r="H1422" s="283"/>
      <c r="I1422" s="283"/>
      <c r="K1422" s="283"/>
      <c r="L1422" s="283"/>
      <c r="M1422" s="283"/>
      <c r="N1422" s="283"/>
      <c r="O1422" s="815"/>
      <c r="P1422" s="164"/>
      <c r="Q1422" s="524"/>
      <c r="R1422" s="524"/>
      <c r="S1422" s="933">
        <v>489622.2</v>
      </c>
      <c r="T1422" s="933"/>
      <c r="U1422" s="933"/>
      <c r="X1422" s="16"/>
      <c r="Y1422" s="16"/>
    </row>
    <row r="1423" spans="1:25" s="42" customFormat="1" ht="15">
      <c r="A1423" s="740"/>
      <c r="B1423" s="534" t="s">
        <v>5712</v>
      </c>
      <c r="C1423" s="164"/>
      <c r="D1423" s="444"/>
      <c r="E1423" s="647"/>
      <c r="H1423" s="283"/>
      <c r="I1423" s="283"/>
      <c r="K1423" s="283"/>
      <c r="L1423" s="283"/>
      <c r="M1423" s="283"/>
      <c r="N1423" s="283"/>
      <c r="O1423" s="815"/>
      <c r="P1423" s="164"/>
      <c r="Q1423" s="524"/>
      <c r="R1423" s="524"/>
      <c r="S1423" s="933">
        <v>0</v>
      </c>
      <c r="T1423" s="933"/>
      <c r="U1423" s="933"/>
      <c r="X1423" s="16"/>
      <c r="Y1423" s="16"/>
    </row>
    <row r="1424" spans="1:25" s="42" customFormat="1" ht="15">
      <c r="A1424" s="740"/>
      <c r="B1424" s="534" t="s">
        <v>4220</v>
      </c>
      <c r="C1424" s="164"/>
      <c r="D1424" s="444"/>
      <c r="E1424" s="647"/>
      <c r="H1424" s="283"/>
      <c r="I1424" s="283"/>
      <c r="K1424" s="283"/>
      <c r="L1424" s="283"/>
      <c r="M1424" s="283"/>
      <c r="N1424" s="283"/>
      <c r="O1424" s="815"/>
      <c r="P1424" s="164"/>
      <c r="Q1424" s="524"/>
      <c r="R1424" s="524"/>
      <c r="S1424" s="933">
        <v>1000000</v>
      </c>
      <c r="T1424" s="933"/>
      <c r="U1424" s="933"/>
      <c r="X1424" s="16"/>
      <c r="Y1424" s="16"/>
    </row>
    <row r="1425" spans="1:25" s="42" customFormat="1" ht="15">
      <c r="A1425" s="740"/>
      <c r="B1425" s="534" t="s">
        <v>4220</v>
      </c>
      <c r="C1425" s="164"/>
      <c r="D1425" s="444"/>
      <c r="E1425" s="647"/>
      <c r="H1425" s="283"/>
      <c r="I1425" s="283"/>
      <c r="K1425" s="283"/>
      <c r="L1425" s="283"/>
      <c r="M1425" s="283"/>
      <c r="N1425" s="283"/>
      <c r="O1425" s="815"/>
      <c r="P1425" s="164"/>
      <c r="Q1425" s="524"/>
      <c r="R1425" s="524"/>
      <c r="S1425" s="933">
        <v>0</v>
      </c>
      <c r="T1425" s="933"/>
      <c r="U1425" s="933"/>
      <c r="X1425" s="16"/>
      <c r="Y1425" s="16"/>
    </row>
    <row r="1426" spans="1:25" s="42" customFormat="1" ht="15">
      <c r="A1426" s="740"/>
      <c r="B1426" s="534" t="s">
        <v>5712</v>
      </c>
      <c r="C1426" s="164"/>
      <c r="D1426" s="444"/>
      <c r="E1426" s="647"/>
      <c r="H1426" s="283"/>
      <c r="I1426" s="283"/>
      <c r="K1426" s="283"/>
      <c r="L1426" s="283"/>
      <c r="M1426" s="283"/>
      <c r="N1426" s="283"/>
      <c r="O1426" s="815"/>
      <c r="P1426" s="164"/>
      <c r="Q1426" s="524"/>
      <c r="R1426" s="524"/>
      <c r="S1426" s="933">
        <v>0</v>
      </c>
      <c r="T1426" s="933"/>
      <c r="U1426" s="933"/>
      <c r="X1426" s="16"/>
      <c r="Y1426" s="16"/>
    </row>
    <row r="1427" spans="1:25" s="42" customFormat="1" ht="15">
      <c r="A1427" s="740"/>
      <c r="B1427" s="534" t="s">
        <v>5712</v>
      </c>
      <c r="C1427" s="164"/>
      <c r="D1427" s="444"/>
      <c r="E1427" s="647"/>
      <c r="H1427" s="283"/>
      <c r="I1427" s="283"/>
      <c r="K1427" s="283"/>
      <c r="L1427" s="283"/>
      <c r="M1427" s="283"/>
      <c r="N1427" s="283"/>
      <c r="O1427" s="815"/>
      <c r="P1427" s="164"/>
      <c r="Q1427" s="524"/>
      <c r="R1427" s="524"/>
      <c r="S1427" s="933">
        <v>1000000</v>
      </c>
      <c r="T1427" s="933"/>
      <c r="U1427" s="933"/>
      <c r="X1427" s="16"/>
      <c r="Y1427" s="16"/>
    </row>
    <row r="1428" spans="1:25" s="42" customFormat="1" ht="15">
      <c r="A1428" s="740"/>
      <c r="B1428" s="534" t="s">
        <v>3541</v>
      </c>
      <c r="C1428" s="164"/>
      <c r="D1428" s="444"/>
      <c r="E1428" s="647"/>
      <c r="H1428" s="283"/>
      <c r="I1428" s="283"/>
      <c r="K1428" s="283"/>
      <c r="L1428" s="283"/>
      <c r="M1428" s="283"/>
      <c r="N1428" s="283"/>
      <c r="O1428" s="815"/>
      <c r="P1428" s="164"/>
      <c r="Q1428" s="524"/>
      <c r="R1428" s="524"/>
      <c r="S1428" s="933">
        <v>573000</v>
      </c>
      <c r="T1428" s="933"/>
      <c r="U1428" s="933"/>
      <c r="X1428" s="16"/>
      <c r="Y1428" s="16"/>
    </row>
    <row r="1429" spans="1:25" s="42" customFormat="1" ht="15">
      <c r="A1429" s="740"/>
      <c r="B1429" s="534" t="s">
        <v>5712</v>
      </c>
      <c r="C1429" s="164"/>
      <c r="D1429" s="444"/>
      <c r="E1429" s="647"/>
      <c r="H1429" s="283"/>
      <c r="I1429" s="283"/>
      <c r="K1429" s="283"/>
      <c r="L1429" s="283"/>
      <c r="M1429" s="283"/>
      <c r="N1429" s="283"/>
      <c r="O1429" s="815"/>
      <c r="P1429" s="164"/>
      <c r="Q1429" s="524"/>
      <c r="R1429" s="524"/>
      <c r="S1429" s="933">
        <v>0</v>
      </c>
      <c r="T1429" s="933"/>
      <c r="U1429" s="933"/>
      <c r="X1429" s="16"/>
      <c r="Y1429" s="16"/>
    </row>
    <row r="1430" spans="1:25" s="42" customFormat="1" ht="15">
      <c r="A1430" s="740"/>
      <c r="B1430" s="534" t="s">
        <v>5712</v>
      </c>
      <c r="C1430" s="164"/>
      <c r="D1430" s="444"/>
      <c r="E1430" s="647"/>
      <c r="H1430" s="283"/>
      <c r="I1430" s="283"/>
      <c r="K1430" s="283"/>
      <c r="L1430" s="283"/>
      <c r="M1430" s="283"/>
      <c r="N1430" s="283"/>
      <c r="O1430" s="815"/>
      <c r="P1430" s="164"/>
      <c r="Q1430" s="524"/>
      <c r="R1430" s="524"/>
      <c r="S1430" s="933">
        <v>10000000</v>
      </c>
      <c r="T1430" s="933"/>
      <c r="U1430" s="933"/>
      <c r="X1430" s="16"/>
      <c r="Y1430" s="16"/>
    </row>
    <row r="1431" spans="1:25" s="42" customFormat="1" ht="15">
      <c r="A1431" s="740"/>
      <c r="B1431" s="534" t="s">
        <v>416</v>
      </c>
      <c r="C1431" s="164"/>
      <c r="D1431" s="444"/>
      <c r="E1431" s="647"/>
      <c r="H1431" s="283"/>
      <c r="I1431" s="283"/>
      <c r="K1431" s="283"/>
      <c r="L1431" s="283"/>
      <c r="M1431" s="283"/>
      <c r="N1431" s="283"/>
      <c r="O1431" s="815"/>
      <c r="P1431" s="164"/>
      <c r="Q1431" s="524"/>
      <c r="R1431" s="524"/>
      <c r="S1431" s="933">
        <v>0</v>
      </c>
      <c r="T1431" s="933"/>
      <c r="U1431" s="933"/>
      <c r="X1431" s="16"/>
      <c r="Y1431" s="16"/>
    </row>
    <row r="1432" spans="1:25" s="42" customFormat="1" ht="15">
      <c r="A1432" s="740"/>
      <c r="B1432" s="534" t="s">
        <v>3541</v>
      </c>
      <c r="C1432" s="164"/>
      <c r="D1432" s="444"/>
      <c r="E1432" s="647"/>
      <c r="H1432" s="283"/>
      <c r="I1432" s="283"/>
      <c r="K1432" s="283"/>
      <c r="L1432" s="283"/>
      <c r="M1432" s="283"/>
      <c r="N1432" s="283"/>
      <c r="O1432" s="815"/>
      <c r="P1432" s="164"/>
      <c r="Q1432" s="524"/>
      <c r="R1432" s="524"/>
      <c r="S1432" s="933">
        <v>800000</v>
      </c>
      <c r="T1432" s="933"/>
      <c r="U1432" s="933"/>
      <c r="X1432" s="16"/>
      <c r="Y1432" s="16"/>
    </row>
    <row r="1433" spans="1:25" s="42" customFormat="1" ht="15">
      <c r="A1433" s="740"/>
      <c r="B1433" s="534" t="s">
        <v>5712</v>
      </c>
      <c r="C1433" s="164"/>
      <c r="D1433" s="444"/>
      <c r="E1433" s="647"/>
      <c r="H1433" s="283"/>
      <c r="I1433" s="283"/>
      <c r="K1433" s="283"/>
      <c r="L1433" s="283"/>
      <c r="M1433" s="283"/>
      <c r="N1433" s="283"/>
      <c r="O1433" s="815"/>
      <c r="P1433" s="164"/>
      <c r="Q1433" s="524"/>
      <c r="R1433" s="524"/>
      <c r="S1433" s="933">
        <v>0</v>
      </c>
      <c r="T1433" s="933"/>
      <c r="U1433" s="933"/>
      <c r="X1433" s="16"/>
      <c r="Y1433" s="16"/>
    </row>
    <row r="1434" spans="1:25" s="42" customFormat="1" ht="15">
      <c r="A1434" s="740"/>
      <c r="B1434" s="534" t="s">
        <v>3541</v>
      </c>
      <c r="C1434" s="164"/>
      <c r="D1434" s="444"/>
      <c r="E1434" s="647"/>
      <c r="H1434" s="283"/>
      <c r="I1434" s="283"/>
      <c r="K1434" s="283"/>
      <c r="L1434" s="283"/>
      <c r="M1434" s="283"/>
      <c r="N1434" s="283"/>
      <c r="O1434" s="815"/>
      <c r="P1434" s="164"/>
      <c r="Q1434" s="524"/>
      <c r="R1434" s="524"/>
      <c r="S1434" s="933">
        <v>0</v>
      </c>
      <c r="T1434" s="933"/>
      <c r="U1434" s="933"/>
      <c r="X1434" s="16"/>
      <c r="Y1434" s="16"/>
    </row>
    <row r="1435" spans="1:25" s="42" customFormat="1" ht="15">
      <c r="A1435" s="740"/>
      <c r="B1435" s="534" t="s">
        <v>4220</v>
      </c>
      <c r="C1435" s="164"/>
      <c r="D1435" s="444"/>
      <c r="E1435" s="647"/>
      <c r="H1435" s="283"/>
      <c r="I1435" s="283"/>
      <c r="K1435" s="283"/>
      <c r="L1435" s="283"/>
      <c r="M1435" s="283"/>
      <c r="N1435" s="283"/>
      <c r="O1435" s="815"/>
      <c r="P1435" s="164"/>
      <c r="Q1435" s="524"/>
      <c r="R1435" s="524"/>
      <c r="S1435" s="933">
        <v>0</v>
      </c>
      <c r="T1435" s="933"/>
      <c r="U1435" s="933"/>
      <c r="X1435" s="16"/>
      <c r="Y1435" s="16"/>
    </row>
    <row r="1436" spans="1:25" s="42" customFormat="1" ht="15">
      <c r="A1436" s="740"/>
      <c r="B1436" s="446" t="s">
        <v>1648</v>
      </c>
      <c r="C1436" s="164" t="s">
        <v>2471</v>
      </c>
      <c r="D1436" s="444">
        <v>40899</v>
      </c>
      <c r="E1436" s="647"/>
      <c r="F1436" s="42" t="s">
        <v>315</v>
      </c>
      <c r="H1436" s="283"/>
      <c r="I1436" s="283"/>
      <c r="K1436" s="283">
        <v>232900</v>
      </c>
      <c r="L1436" s="283"/>
      <c r="M1436" s="283">
        <f t="shared" si="98"/>
        <v>232900</v>
      </c>
      <c r="N1436" s="283"/>
      <c r="O1436" s="815"/>
      <c r="P1436" s="164" t="s">
        <v>104</v>
      </c>
      <c r="Q1436" s="541">
        <f>SUM(Q1437:Q1474)</f>
        <v>232900</v>
      </c>
      <c r="R1436" s="541">
        <f>SUM(R1437:R1474)</f>
        <v>232900</v>
      </c>
      <c r="S1436" s="933"/>
      <c r="T1436" s="933"/>
      <c r="U1436" s="933"/>
      <c r="W1436" s="42" t="s">
        <v>2002</v>
      </c>
      <c r="X1436" s="16">
        <f t="shared" ref="X1436:X1508" si="105">SUM(J1436:L1436)</f>
        <v>232900</v>
      </c>
      <c r="Y1436" s="16">
        <f>X1436-M1436</f>
        <v>0</v>
      </c>
    </row>
    <row r="1437" spans="1:25" s="42" customFormat="1" ht="15">
      <c r="A1437" s="740"/>
      <c r="B1437" s="534" t="s">
        <v>2472</v>
      </c>
      <c r="C1437" s="164"/>
      <c r="D1437" s="444"/>
      <c r="E1437" s="108"/>
      <c r="H1437" s="283"/>
      <c r="I1437" s="283"/>
      <c r="K1437" s="283"/>
      <c r="L1437" s="283"/>
      <c r="M1437" s="283"/>
      <c r="N1437" s="283"/>
      <c r="O1437" s="815"/>
      <c r="P1437" s="164"/>
      <c r="Q1437" s="529">
        <v>30000</v>
      </c>
      <c r="R1437" s="529">
        <v>30000</v>
      </c>
      <c r="S1437" s="933"/>
      <c r="T1437" s="933"/>
      <c r="U1437" s="933"/>
      <c r="X1437" s="16"/>
      <c r="Y1437" s="16"/>
    </row>
    <row r="1438" spans="1:25" s="42" customFormat="1" ht="15">
      <c r="A1438" s="740"/>
      <c r="B1438" s="534" t="s">
        <v>2473</v>
      </c>
      <c r="C1438" s="164"/>
      <c r="D1438" s="444"/>
      <c r="E1438" s="108"/>
      <c r="H1438" s="283"/>
      <c r="I1438" s="283"/>
      <c r="K1438" s="283"/>
      <c r="L1438" s="283"/>
      <c r="M1438" s="283"/>
      <c r="N1438" s="283"/>
      <c r="O1438" s="815"/>
      <c r="P1438" s="164"/>
      <c r="Q1438" s="529">
        <v>60000</v>
      </c>
      <c r="R1438" s="529">
        <v>60000</v>
      </c>
      <c r="S1438" s="933"/>
      <c r="T1438" s="933"/>
      <c r="U1438" s="933"/>
      <c r="X1438" s="16"/>
      <c r="Y1438" s="16"/>
    </row>
    <row r="1439" spans="1:25" s="42" customFormat="1" ht="15">
      <c r="A1439" s="740"/>
      <c r="B1439" s="534" t="s">
        <v>2474</v>
      </c>
      <c r="C1439" s="164"/>
      <c r="D1439" s="444"/>
      <c r="E1439" s="108"/>
      <c r="H1439" s="283"/>
      <c r="I1439" s="283"/>
      <c r="K1439" s="283"/>
      <c r="L1439" s="283"/>
      <c r="M1439" s="283"/>
      <c r="N1439" s="283"/>
      <c r="O1439" s="815"/>
      <c r="P1439" s="164"/>
      <c r="Q1439" s="529">
        <v>40000</v>
      </c>
      <c r="R1439" s="529">
        <v>40000</v>
      </c>
      <c r="S1439" s="933"/>
      <c r="T1439" s="933"/>
      <c r="U1439" s="933"/>
      <c r="X1439" s="16"/>
      <c r="Y1439" s="16"/>
    </row>
    <row r="1440" spans="1:25" s="42" customFormat="1" ht="15">
      <c r="A1440" s="740"/>
      <c r="B1440" s="534" t="s">
        <v>2475</v>
      </c>
      <c r="C1440" s="164"/>
      <c r="D1440" s="444"/>
      <c r="E1440" s="108"/>
      <c r="H1440" s="283"/>
      <c r="I1440" s="283"/>
      <c r="K1440" s="283"/>
      <c r="L1440" s="283"/>
      <c r="M1440" s="283"/>
      <c r="N1440" s="283"/>
      <c r="O1440" s="815"/>
      <c r="P1440" s="164"/>
      <c r="Q1440" s="529">
        <v>800</v>
      </c>
      <c r="R1440" s="529">
        <v>800</v>
      </c>
      <c r="S1440" s="933"/>
      <c r="T1440" s="933"/>
      <c r="U1440" s="933"/>
      <c r="X1440" s="16"/>
      <c r="Y1440" s="16"/>
    </row>
    <row r="1441" spans="1:25" s="42" customFormat="1" ht="15">
      <c r="A1441" s="740"/>
      <c r="B1441" s="534" t="s">
        <v>2476</v>
      </c>
      <c r="C1441" s="164"/>
      <c r="D1441" s="444"/>
      <c r="E1441" s="108"/>
      <c r="H1441" s="283"/>
      <c r="I1441" s="283"/>
      <c r="K1441" s="283"/>
      <c r="L1441" s="283"/>
      <c r="M1441" s="283"/>
      <c r="N1441" s="283"/>
      <c r="O1441" s="815"/>
      <c r="P1441" s="164"/>
      <c r="Q1441" s="529">
        <v>1000</v>
      </c>
      <c r="R1441" s="529">
        <v>1000</v>
      </c>
      <c r="S1441" s="933"/>
      <c r="T1441" s="933"/>
      <c r="U1441" s="933"/>
      <c r="X1441" s="16"/>
      <c r="Y1441" s="16"/>
    </row>
    <row r="1442" spans="1:25" s="42" customFormat="1" ht="15">
      <c r="A1442" s="740"/>
      <c r="B1442" s="534" t="s">
        <v>2477</v>
      </c>
      <c r="C1442" s="164"/>
      <c r="D1442" s="444"/>
      <c r="E1442" s="108"/>
      <c r="H1442" s="283"/>
      <c r="I1442" s="283"/>
      <c r="K1442" s="283"/>
      <c r="L1442" s="283"/>
      <c r="M1442" s="283"/>
      <c r="N1442" s="283"/>
      <c r="O1442" s="815"/>
      <c r="P1442" s="164"/>
      <c r="Q1442" s="529">
        <v>1000</v>
      </c>
      <c r="R1442" s="529">
        <v>1000</v>
      </c>
      <c r="S1442" s="933"/>
      <c r="T1442" s="933"/>
      <c r="U1442" s="933"/>
      <c r="X1442" s="16"/>
      <c r="Y1442" s="16"/>
    </row>
    <row r="1443" spans="1:25" s="42" customFormat="1" ht="15">
      <c r="A1443" s="740"/>
      <c r="B1443" s="534" t="s">
        <v>2478</v>
      </c>
      <c r="C1443" s="164"/>
      <c r="D1443" s="444"/>
      <c r="E1443" s="108"/>
      <c r="H1443" s="283"/>
      <c r="I1443" s="283"/>
      <c r="K1443" s="283"/>
      <c r="L1443" s="283"/>
      <c r="M1443" s="283"/>
      <c r="N1443" s="283"/>
      <c r="O1443" s="815"/>
      <c r="P1443" s="164"/>
      <c r="Q1443" s="529">
        <v>1000</v>
      </c>
      <c r="R1443" s="529">
        <v>1000</v>
      </c>
      <c r="S1443" s="933"/>
      <c r="T1443" s="933"/>
      <c r="U1443" s="933"/>
      <c r="X1443" s="16"/>
      <c r="Y1443" s="16"/>
    </row>
    <row r="1444" spans="1:25" s="42" customFormat="1" ht="15">
      <c r="A1444" s="740"/>
      <c r="B1444" s="534" t="s">
        <v>2479</v>
      </c>
      <c r="C1444" s="164"/>
      <c r="D1444" s="444"/>
      <c r="E1444" s="108"/>
      <c r="H1444" s="283"/>
      <c r="I1444" s="283"/>
      <c r="K1444" s="283"/>
      <c r="L1444" s="283"/>
      <c r="M1444" s="283"/>
      <c r="N1444" s="283"/>
      <c r="O1444" s="815"/>
      <c r="P1444" s="164"/>
      <c r="Q1444" s="529">
        <v>500</v>
      </c>
      <c r="R1444" s="529">
        <v>500</v>
      </c>
      <c r="S1444" s="933"/>
      <c r="T1444" s="933"/>
      <c r="U1444" s="933"/>
      <c r="X1444" s="16"/>
      <c r="Y1444" s="16"/>
    </row>
    <row r="1445" spans="1:25" s="42" customFormat="1" ht="15">
      <c r="A1445" s="740"/>
      <c r="B1445" s="534" t="s">
        <v>2480</v>
      </c>
      <c r="C1445" s="164"/>
      <c r="D1445" s="444"/>
      <c r="E1445" s="108"/>
      <c r="H1445" s="283"/>
      <c r="I1445" s="283"/>
      <c r="K1445" s="283"/>
      <c r="L1445" s="283"/>
      <c r="M1445" s="283"/>
      <c r="N1445" s="283"/>
      <c r="O1445" s="815"/>
      <c r="P1445" s="164"/>
      <c r="Q1445" s="529">
        <v>600</v>
      </c>
      <c r="R1445" s="529">
        <v>600</v>
      </c>
      <c r="S1445" s="933"/>
      <c r="T1445" s="933"/>
      <c r="U1445" s="933"/>
      <c r="X1445" s="16"/>
      <c r="Y1445" s="16"/>
    </row>
    <row r="1446" spans="1:25" s="42" customFormat="1" ht="15">
      <c r="A1446" s="740"/>
      <c r="B1446" s="534" t="s">
        <v>2481</v>
      </c>
      <c r="C1446" s="164"/>
      <c r="D1446" s="444"/>
      <c r="E1446" s="108"/>
      <c r="H1446" s="283"/>
      <c r="I1446" s="283"/>
      <c r="K1446" s="283"/>
      <c r="L1446" s="283"/>
      <c r="M1446" s="283"/>
      <c r="N1446" s="283"/>
      <c r="O1446" s="815"/>
      <c r="P1446" s="164"/>
      <c r="Q1446" s="529">
        <v>600</v>
      </c>
      <c r="R1446" s="529">
        <v>600</v>
      </c>
      <c r="S1446" s="933"/>
      <c r="T1446" s="933"/>
      <c r="U1446" s="933"/>
      <c r="X1446" s="16"/>
      <c r="Y1446" s="16"/>
    </row>
    <row r="1447" spans="1:25" s="42" customFormat="1" ht="15">
      <c r="A1447" s="740"/>
      <c r="B1447" s="534" t="s">
        <v>2482</v>
      </c>
      <c r="C1447" s="164"/>
      <c r="D1447" s="444"/>
      <c r="E1447" s="108"/>
      <c r="H1447" s="283"/>
      <c r="I1447" s="283"/>
      <c r="K1447" s="283"/>
      <c r="L1447" s="283"/>
      <c r="M1447" s="283"/>
      <c r="N1447" s="283"/>
      <c r="O1447" s="815"/>
      <c r="P1447" s="164"/>
      <c r="Q1447" s="529">
        <v>1000</v>
      </c>
      <c r="R1447" s="529">
        <v>1000</v>
      </c>
      <c r="S1447" s="933"/>
      <c r="T1447" s="933"/>
      <c r="U1447" s="933"/>
      <c r="X1447" s="16"/>
      <c r="Y1447" s="16"/>
    </row>
    <row r="1448" spans="1:25" s="42" customFormat="1" ht="15">
      <c r="A1448" s="740"/>
      <c r="B1448" s="534" t="s">
        <v>2483</v>
      </c>
      <c r="C1448" s="164"/>
      <c r="D1448" s="444"/>
      <c r="E1448" s="108"/>
      <c r="H1448" s="283"/>
      <c r="I1448" s="283"/>
      <c r="K1448" s="283"/>
      <c r="L1448" s="283"/>
      <c r="M1448" s="283"/>
      <c r="N1448" s="283"/>
      <c r="O1448" s="815"/>
      <c r="P1448" s="164"/>
      <c r="Q1448" s="529">
        <v>600</v>
      </c>
      <c r="R1448" s="529">
        <v>600</v>
      </c>
      <c r="S1448" s="933"/>
      <c r="T1448" s="933"/>
      <c r="U1448" s="933"/>
      <c r="X1448" s="16"/>
      <c r="Y1448" s="16"/>
    </row>
    <row r="1449" spans="1:25" s="42" customFormat="1" ht="15">
      <c r="A1449" s="740"/>
      <c r="B1449" s="534" t="s">
        <v>2358</v>
      </c>
      <c r="C1449" s="164"/>
      <c r="D1449" s="444"/>
      <c r="E1449" s="108"/>
      <c r="H1449" s="283"/>
      <c r="I1449" s="283"/>
      <c r="K1449" s="283"/>
      <c r="L1449" s="283"/>
      <c r="M1449" s="283"/>
      <c r="N1449" s="283"/>
      <c r="O1449" s="815"/>
      <c r="P1449" s="164"/>
      <c r="Q1449" s="529">
        <v>10000</v>
      </c>
      <c r="R1449" s="529">
        <v>10000</v>
      </c>
      <c r="S1449" s="933"/>
      <c r="T1449" s="933"/>
      <c r="U1449" s="933"/>
      <c r="X1449" s="16"/>
      <c r="Y1449" s="16"/>
    </row>
    <row r="1450" spans="1:25" s="42" customFormat="1" ht="15">
      <c r="A1450" s="740"/>
      <c r="B1450" s="534" t="s">
        <v>2484</v>
      </c>
      <c r="C1450" s="164"/>
      <c r="D1450" s="444"/>
      <c r="E1450" s="108"/>
      <c r="H1450" s="283"/>
      <c r="I1450" s="283"/>
      <c r="K1450" s="283"/>
      <c r="L1450" s="283"/>
      <c r="M1450" s="283"/>
      <c r="N1450" s="283"/>
      <c r="O1450" s="815"/>
      <c r="P1450" s="164"/>
      <c r="Q1450" s="529">
        <v>20000</v>
      </c>
      <c r="R1450" s="529">
        <v>20000</v>
      </c>
      <c r="S1450" s="933"/>
      <c r="T1450" s="933"/>
      <c r="U1450" s="933"/>
      <c r="X1450" s="16"/>
      <c r="Y1450" s="16"/>
    </row>
    <row r="1451" spans="1:25" s="42" customFormat="1" ht="15">
      <c r="A1451" s="740"/>
      <c r="B1451" s="534" t="s">
        <v>2485</v>
      </c>
      <c r="C1451" s="164"/>
      <c r="D1451" s="444"/>
      <c r="E1451" s="108"/>
      <c r="H1451" s="283"/>
      <c r="I1451" s="283"/>
      <c r="K1451" s="283"/>
      <c r="L1451" s="283"/>
      <c r="M1451" s="283"/>
      <c r="N1451" s="283"/>
      <c r="O1451" s="815"/>
      <c r="P1451" s="164"/>
      <c r="Q1451" s="529">
        <v>400</v>
      </c>
      <c r="R1451" s="529">
        <v>400</v>
      </c>
      <c r="S1451" s="933"/>
      <c r="T1451" s="933"/>
      <c r="U1451" s="933"/>
      <c r="X1451" s="16"/>
      <c r="Y1451" s="16"/>
    </row>
    <row r="1452" spans="1:25" s="42" customFormat="1" ht="15">
      <c r="A1452" s="740"/>
      <c r="B1452" s="534" t="s">
        <v>2486</v>
      </c>
      <c r="C1452" s="164"/>
      <c r="D1452" s="444"/>
      <c r="E1452" s="108"/>
      <c r="H1452" s="283"/>
      <c r="I1452" s="283"/>
      <c r="K1452" s="283"/>
      <c r="L1452" s="283"/>
      <c r="M1452" s="283"/>
      <c r="N1452" s="283"/>
      <c r="O1452" s="815"/>
      <c r="P1452" s="164"/>
      <c r="Q1452" s="529">
        <v>600</v>
      </c>
      <c r="R1452" s="529">
        <v>600</v>
      </c>
      <c r="S1452" s="933"/>
      <c r="T1452" s="933"/>
      <c r="U1452" s="933"/>
      <c r="X1452" s="16"/>
      <c r="Y1452" s="16"/>
    </row>
    <row r="1453" spans="1:25" s="42" customFormat="1" ht="15">
      <c r="A1453" s="740"/>
      <c r="B1453" s="534" t="s">
        <v>1770</v>
      </c>
      <c r="C1453" s="164"/>
      <c r="D1453" s="444"/>
      <c r="E1453" s="108"/>
      <c r="H1453" s="283"/>
      <c r="I1453" s="283"/>
      <c r="K1453" s="283"/>
      <c r="L1453" s="283"/>
      <c r="M1453" s="283"/>
      <c r="N1453" s="283"/>
      <c r="O1453" s="815"/>
      <c r="P1453" s="164"/>
      <c r="Q1453" s="529">
        <v>40000</v>
      </c>
      <c r="R1453" s="529">
        <v>40000</v>
      </c>
      <c r="S1453" s="933"/>
      <c r="T1453" s="933"/>
      <c r="U1453" s="933"/>
      <c r="X1453" s="16"/>
      <c r="Y1453" s="16"/>
    </row>
    <row r="1454" spans="1:25" s="42" customFormat="1" ht="15">
      <c r="A1454" s="740"/>
      <c r="B1454" s="534" t="s">
        <v>2487</v>
      </c>
      <c r="C1454" s="164"/>
      <c r="D1454" s="444"/>
      <c r="E1454" s="108"/>
      <c r="H1454" s="283"/>
      <c r="I1454" s="283"/>
      <c r="K1454" s="283"/>
      <c r="L1454" s="283"/>
      <c r="M1454" s="283"/>
      <c r="N1454" s="283"/>
      <c r="O1454" s="815"/>
      <c r="P1454" s="164"/>
      <c r="Q1454" s="529">
        <v>400</v>
      </c>
      <c r="R1454" s="529">
        <v>400</v>
      </c>
      <c r="S1454" s="933"/>
      <c r="T1454" s="933"/>
      <c r="U1454" s="933"/>
      <c r="X1454" s="16"/>
      <c r="Y1454" s="16"/>
    </row>
    <row r="1455" spans="1:25" s="42" customFormat="1" ht="15">
      <c r="A1455" s="740"/>
      <c r="B1455" s="534" t="s">
        <v>2488</v>
      </c>
      <c r="C1455" s="164"/>
      <c r="D1455" s="444"/>
      <c r="E1455" s="108"/>
      <c r="H1455" s="283"/>
      <c r="I1455" s="283"/>
      <c r="K1455" s="283"/>
      <c r="L1455" s="283"/>
      <c r="M1455" s="283"/>
      <c r="N1455" s="283"/>
      <c r="O1455" s="815"/>
      <c r="P1455" s="164"/>
      <c r="Q1455" s="529">
        <v>700</v>
      </c>
      <c r="R1455" s="529">
        <v>700</v>
      </c>
      <c r="S1455" s="933"/>
      <c r="T1455" s="933"/>
      <c r="U1455" s="933"/>
      <c r="X1455" s="16"/>
      <c r="Y1455" s="16"/>
    </row>
    <row r="1456" spans="1:25" s="42" customFormat="1" ht="15">
      <c r="A1456" s="740"/>
      <c r="B1456" s="534" t="s">
        <v>2489</v>
      </c>
      <c r="C1456" s="164"/>
      <c r="D1456" s="444"/>
      <c r="E1456" s="108"/>
      <c r="H1456" s="283"/>
      <c r="I1456" s="283"/>
      <c r="K1456" s="283"/>
      <c r="L1456" s="283"/>
      <c r="M1456" s="283"/>
      <c r="N1456" s="283"/>
      <c r="O1456" s="815"/>
      <c r="P1456" s="164"/>
      <c r="Q1456" s="529">
        <v>900</v>
      </c>
      <c r="R1456" s="529">
        <v>900</v>
      </c>
      <c r="S1456" s="933"/>
      <c r="T1456" s="933"/>
      <c r="U1456" s="933"/>
      <c r="X1456" s="16"/>
      <c r="Y1456" s="16"/>
    </row>
    <row r="1457" spans="1:25" s="42" customFormat="1" ht="15">
      <c r="A1457" s="740"/>
      <c r="B1457" s="534" t="s">
        <v>2490</v>
      </c>
      <c r="C1457" s="164"/>
      <c r="D1457" s="444"/>
      <c r="E1457" s="108"/>
      <c r="H1457" s="283"/>
      <c r="I1457" s="283"/>
      <c r="K1457" s="283"/>
      <c r="L1457" s="283"/>
      <c r="M1457" s="283"/>
      <c r="N1457" s="283"/>
      <c r="O1457" s="815"/>
      <c r="P1457" s="164"/>
      <c r="Q1457" s="529">
        <v>400</v>
      </c>
      <c r="R1457" s="529">
        <v>400</v>
      </c>
      <c r="S1457" s="933"/>
      <c r="T1457" s="933"/>
      <c r="U1457" s="933"/>
      <c r="X1457" s="16"/>
      <c r="Y1457" s="16"/>
    </row>
    <row r="1458" spans="1:25" s="42" customFormat="1" ht="15">
      <c r="A1458" s="740"/>
      <c r="B1458" s="534" t="s">
        <v>2491</v>
      </c>
      <c r="C1458" s="164"/>
      <c r="D1458" s="444"/>
      <c r="E1458" s="108"/>
      <c r="H1458" s="283"/>
      <c r="I1458" s="283"/>
      <c r="K1458" s="283"/>
      <c r="L1458" s="283"/>
      <c r="M1458" s="283"/>
      <c r="N1458" s="283"/>
      <c r="O1458" s="815"/>
      <c r="P1458" s="164"/>
      <c r="Q1458" s="529">
        <v>600</v>
      </c>
      <c r="R1458" s="529">
        <v>600</v>
      </c>
      <c r="S1458" s="933"/>
      <c r="T1458" s="933"/>
      <c r="U1458" s="933"/>
      <c r="X1458" s="16"/>
      <c r="Y1458" s="16"/>
    </row>
    <row r="1459" spans="1:25" s="42" customFormat="1" ht="15">
      <c r="A1459" s="740"/>
      <c r="B1459" s="534" t="s">
        <v>2492</v>
      </c>
      <c r="C1459" s="164"/>
      <c r="D1459" s="444"/>
      <c r="E1459" s="108"/>
      <c r="H1459" s="283"/>
      <c r="I1459" s="283"/>
      <c r="K1459" s="283"/>
      <c r="L1459" s="283"/>
      <c r="M1459" s="283"/>
      <c r="N1459" s="283"/>
      <c r="O1459" s="815"/>
      <c r="P1459" s="164"/>
      <c r="Q1459" s="529">
        <v>500</v>
      </c>
      <c r="R1459" s="529">
        <v>500</v>
      </c>
      <c r="S1459" s="933"/>
      <c r="T1459" s="933"/>
      <c r="U1459" s="933"/>
      <c r="X1459" s="16"/>
      <c r="Y1459" s="16"/>
    </row>
    <row r="1460" spans="1:25" s="42" customFormat="1" ht="15">
      <c r="A1460" s="740"/>
      <c r="B1460" s="534" t="s">
        <v>2493</v>
      </c>
      <c r="C1460" s="164"/>
      <c r="D1460" s="444"/>
      <c r="E1460" s="108"/>
      <c r="H1460" s="283"/>
      <c r="I1460" s="283"/>
      <c r="K1460" s="283"/>
      <c r="L1460" s="283"/>
      <c r="M1460" s="283"/>
      <c r="N1460" s="283"/>
      <c r="O1460" s="815"/>
      <c r="P1460" s="164"/>
      <c r="Q1460" s="529">
        <v>700</v>
      </c>
      <c r="R1460" s="529">
        <v>700</v>
      </c>
      <c r="S1460" s="933"/>
      <c r="T1460" s="933"/>
      <c r="U1460" s="933"/>
      <c r="X1460" s="16"/>
      <c r="Y1460" s="16"/>
    </row>
    <row r="1461" spans="1:25" s="42" customFormat="1" ht="15">
      <c r="A1461" s="740"/>
      <c r="B1461" s="534" t="s">
        <v>2494</v>
      </c>
      <c r="C1461" s="164"/>
      <c r="D1461" s="444"/>
      <c r="E1461" s="108"/>
      <c r="H1461" s="283"/>
      <c r="I1461" s="283"/>
      <c r="K1461" s="283"/>
      <c r="L1461" s="283"/>
      <c r="M1461" s="283"/>
      <c r="N1461" s="283"/>
      <c r="O1461" s="815"/>
      <c r="P1461" s="164"/>
      <c r="Q1461" s="529">
        <v>800</v>
      </c>
      <c r="R1461" s="529">
        <v>800</v>
      </c>
      <c r="S1461" s="933"/>
      <c r="T1461" s="933"/>
      <c r="U1461" s="933"/>
      <c r="X1461" s="16"/>
      <c r="Y1461" s="16"/>
    </row>
    <row r="1462" spans="1:25" s="42" customFormat="1" ht="15">
      <c r="A1462" s="740"/>
      <c r="B1462" s="534" t="s">
        <v>2495</v>
      </c>
      <c r="C1462" s="164"/>
      <c r="D1462" s="444"/>
      <c r="E1462" s="108"/>
      <c r="H1462" s="283"/>
      <c r="I1462" s="283"/>
      <c r="K1462" s="283"/>
      <c r="L1462" s="283"/>
      <c r="M1462" s="283"/>
      <c r="N1462" s="283"/>
      <c r="O1462" s="815"/>
      <c r="P1462" s="164"/>
      <c r="Q1462" s="529">
        <v>600</v>
      </c>
      <c r="R1462" s="529">
        <v>600</v>
      </c>
      <c r="S1462" s="933"/>
      <c r="T1462" s="933"/>
      <c r="U1462" s="933"/>
      <c r="X1462" s="16"/>
      <c r="Y1462" s="16"/>
    </row>
    <row r="1463" spans="1:25" s="42" customFormat="1" ht="15">
      <c r="A1463" s="740"/>
      <c r="B1463" s="534" t="s">
        <v>2496</v>
      </c>
      <c r="C1463" s="164"/>
      <c r="D1463" s="444"/>
      <c r="E1463" s="108"/>
      <c r="H1463" s="283"/>
      <c r="I1463" s="283"/>
      <c r="K1463" s="283"/>
      <c r="L1463" s="283"/>
      <c r="M1463" s="283"/>
      <c r="N1463" s="283"/>
      <c r="O1463" s="815"/>
      <c r="P1463" s="164"/>
      <c r="Q1463" s="529">
        <v>600</v>
      </c>
      <c r="R1463" s="529">
        <v>600</v>
      </c>
      <c r="S1463" s="933"/>
      <c r="T1463" s="933"/>
      <c r="U1463" s="933"/>
      <c r="X1463" s="16"/>
      <c r="Y1463" s="16"/>
    </row>
    <row r="1464" spans="1:25" s="42" customFormat="1" ht="15">
      <c r="A1464" s="740"/>
      <c r="B1464" s="534" t="s">
        <v>2497</v>
      </c>
      <c r="C1464" s="164"/>
      <c r="D1464" s="444"/>
      <c r="E1464" s="108"/>
      <c r="H1464" s="283"/>
      <c r="I1464" s="283"/>
      <c r="K1464" s="283"/>
      <c r="L1464" s="283"/>
      <c r="M1464" s="283"/>
      <c r="N1464" s="283"/>
      <c r="O1464" s="815"/>
      <c r="P1464" s="164"/>
      <c r="Q1464" s="529">
        <v>1000</v>
      </c>
      <c r="R1464" s="529">
        <v>1000</v>
      </c>
      <c r="S1464" s="933"/>
      <c r="T1464" s="933"/>
      <c r="U1464" s="933"/>
      <c r="X1464" s="16"/>
      <c r="Y1464" s="16"/>
    </row>
    <row r="1465" spans="1:25" s="42" customFormat="1" ht="15">
      <c r="A1465" s="740"/>
      <c r="B1465" s="534" t="s">
        <v>2498</v>
      </c>
      <c r="C1465" s="164"/>
      <c r="D1465" s="444"/>
      <c r="E1465" s="108"/>
      <c r="H1465" s="283"/>
      <c r="I1465" s="283"/>
      <c r="K1465" s="283"/>
      <c r="L1465" s="283"/>
      <c r="M1465" s="283"/>
      <c r="N1465" s="283"/>
      <c r="O1465" s="815"/>
      <c r="P1465" s="164"/>
      <c r="Q1465" s="529">
        <v>700</v>
      </c>
      <c r="R1465" s="529">
        <v>700</v>
      </c>
      <c r="S1465" s="933"/>
      <c r="T1465" s="933"/>
      <c r="U1465" s="933"/>
      <c r="X1465" s="16"/>
      <c r="Y1465" s="16"/>
    </row>
    <row r="1466" spans="1:25" s="42" customFormat="1" ht="15">
      <c r="A1466" s="740"/>
      <c r="B1466" s="534" t="s">
        <v>2499</v>
      </c>
      <c r="C1466" s="164"/>
      <c r="D1466" s="444"/>
      <c r="E1466" s="108"/>
      <c r="H1466" s="283"/>
      <c r="I1466" s="283"/>
      <c r="K1466" s="283"/>
      <c r="L1466" s="283"/>
      <c r="M1466" s="283"/>
      <c r="N1466" s="283"/>
      <c r="O1466" s="815"/>
      <c r="P1466" s="164"/>
      <c r="Q1466" s="529">
        <v>1000</v>
      </c>
      <c r="R1466" s="529">
        <v>1000</v>
      </c>
      <c r="S1466" s="933"/>
      <c r="T1466" s="933"/>
      <c r="U1466" s="933"/>
      <c r="X1466" s="16"/>
      <c r="Y1466" s="16"/>
    </row>
    <row r="1467" spans="1:25" s="42" customFormat="1" ht="15">
      <c r="A1467" s="740"/>
      <c r="B1467" s="534" t="s">
        <v>2500</v>
      </c>
      <c r="C1467" s="164"/>
      <c r="D1467" s="444"/>
      <c r="E1467" s="108"/>
      <c r="H1467" s="283"/>
      <c r="I1467" s="283"/>
      <c r="K1467" s="283"/>
      <c r="L1467" s="283"/>
      <c r="M1467" s="283"/>
      <c r="N1467" s="283"/>
      <c r="O1467" s="815"/>
      <c r="P1467" s="164"/>
      <c r="Q1467" s="529">
        <v>1000</v>
      </c>
      <c r="R1467" s="529">
        <v>1000</v>
      </c>
      <c r="S1467" s="933"/>
      <c r="T1467" s="933"/>
      <c r="U1467" s="933"/>
      <c r="X1467" s="16"/>
      <c r="Y1467" s="16"/>
    </row>
    <row r="1468" spans="1:25" s="42" customFormat="1" ht="15">
      <c r="A1468" s="740"/>
      <c r="B1468" s="534" t="s">
        <v>2501</v>
      </c>
      <c r="C1468" s="164"/>
      <c r="D1468" s="444"/>
      <c r="E1468" s="108"/>
      <c r="H1468" s="283"/>
      <c r="I1468" s="283"/>
      <c r="K1468" s="283"/>
      <c r="L1468" s="283"/>
      <c r="M1468" s="283"/>
      <c r="N1468" s="283"/>
      <c r="O1468" s="815"/>
      <c r="P1468" s="164"/>
      <c r="Q1468" s="529">
        <v>1000</v>
      </c>
      <c r="R1468" s="529">
        <v>1000</v>
      </c>
      <c r="S1468" s="933"/>
      <c r="T1468" s="933"/>
      <c r="U1468" s="933"/>
      <c r="X1468" s="16"/>
      <c r="Y1468" s="16"/>
    </row>
    <row r="1469" spans="1:25" s="42" customFormat="1" ht="15">
      <c r="A1469" s="740"/>
      <c r="B1469" s="534" t="s">
        <v>2502</v>
      </c>
      <c r="C1469" s="164"/>
      <c r="D1469" s="444"/>
      <c r="E1469" s="108"/>
      <c r="H1469" s="283"/>
      <c r="I1469" s="283"/>
      <c r="K1469" s="283"/>
      <c r="L1469" s="283"/>
      <c r="M1469" s="283"/>
      <c r="N1469" s="283"/>
      <c r="O1469" s="815"/>
      <c r="P1469" s="164"/>
      <c r="Q1469" s="529">
        <v>1000</v>
      </c>
      <c r="R1469" s="529">
        <v>1000</v>
      </c>
      <c r="S1469" s="933"/>
      <c r="T1469" s="933"/>
      <c r="U1469" s="933"/>
      <c r="X1469" s="16"/>
      <c r="Y1469" s="16"/>
    </row>
    <row r="1470" spans="1:25" s="42" customFormat="1" ht="15">
      <c r="A1470" s="740"/>
      <c r="B1470" s="534" t="s">
        <v>2503</v>
      </c>
      <c r="C1470" s="164"/>
      <c r="D1470" s="444"/>
      <c r="E1470" s="108"/>
      <c r="H1470" s="283"/>
      <c r="I1470" s="283"/>
      <c r="K1470" s="283"/>
      <c r="L1470" s="283"/>
      <c r="M1470" s="283"/>
      <c r="N1470" s="283"/>
      <c r="O1470" s="815"/>
      <c r="P1470" s="164"/>
      <c r="Q1470" s="529">
        <v>10000</v>
      </c>
      <c r="R1470" s="529">
        <v>10000</v>
      </c>
      <c r="S1470" s="933"/>
      <c r="T1470" s="933"/>
      <c r="U1470" s="933"/>
      <c r="X1470" s="16"/>
      <c r="Y1470" s="16"/>
    </row>
    <row r="1471" spans="1:25" s="42" customFormat="1" ht="15">
      <c r="A1471" s="740"/>
      <c r="B1471" s="534" t="s">
        <v>2504</v>
      </c>
      <c r="C1471" s="164"/>
      <c r="D1471" s="444"/>
      <c r="E1471" s="108"/>
      <c r="H1471" s="283"/>
      <c r="I1471" s="283"/>
      <c r="K1471" s="283"/>
      <c r="L1471" s="283"/>
      <c r="M1471" s="283"/>
      <c r="N1471" s="283"/>
      <c r="O1471" s="815"/>
      <c r="P1471" s="164"/>
      <c r="Q1471" s="529">
        <v>600</v>
      </c>
      <c r="R1471" s="529">
        <v>600</v>
      </c>
      <c r="S1471" s="933"/>
      <c r="T1471" s="933"/>
      <c r="U1471" s="933"/>
      <c r="X1471" s="16"/>
      <c r="Y1471" s="16"/>
    </row>
    <row r="1472" spans="1:25" s="42" customFormat="1" ht="15">
      <c r="A1472" s="740"/>
      <c r="B1472" s="534" t="s">
        <v>2505</v>
      </c>
      <c r="C1472" s="164"/>
      <c r="D1472" s="444"/>
      <c r="E1472" s="108"/>
      <c r="H1472" s="283"/>
      <c r="I1472" s="283"/>
      <c r="K1472" s="283"/>
      <c r="L1472" s="283"/>
      <c r="M1472" s="283"/>
      <c r="N1472" s="283"/>
      <c r="O1472" s="815"/>
      <c r="P1472" s="164"/>
      <c r="Q1472" s="529">
        <v>700</v>
      </c>
      <c r="R1472" s="529">
        <v>700</v>
      </c>
      <c r="S1472" s="933"/>
      <c r="T1472" s="933"/>
      <c r="U1472" s="933"/>
      <c r="X1472" s="16"/>
      <c r="Y1472" s="16"/>
    </row>
    <row r="1473" spans="1:25" s="42" customFormat="1" ht="15">
      <c r="A1473" s="740"/>
      <c r="B1473" s="534" t="s">
        <v>2506</v>
      </c>
      <c r="C1473" s="164"/>
      <c r="D1473" s="444"/>
      <c r="E1473" s="108"/>
      <c r="H1473" s="283"/>
      <c r="I1473" s="283"/>
      <c r="K1473" s="283"/>
      <c r="L1473" s="283"/>
      <c r="M1473" s="283"/>
      <c r="N1473" s="283"/>
      <c r="O1473" s="815"/>
      <c r="P1473" s="164"/>
      <c r="Q1473" s="529">
        <v>1000</v>
      </c>
      <c r="R1473" s="529">
        <v>1000</v>
      </c>
      <c r="S1473" s="933"/>
      <c r="T1473" s="933"/>
      <c r="U1473" s="933"/>
      <c r="X1473" s="16"/>
      <c r="Y1473" s="16"/>
    </row>
    <row r="1474" spans="1:25" s="42" customFormat="1" ht="15">
      <c r="A1474" s="740"/>
      <c r="B1474" s="534" t="s">
        <v>2507</v>
      </c>
      <c r="C1474" s="164"/>
      <c r="D1474" s="444"/>
      <c r="E1474" s="108"/>
      <c r="H1474" s="283"/>
      <c r="I1474" s="283"/>
      <c r="K1474" s="283"/>
      <c r="L1474" s="283"/>
      <c r="M1474" s="283"/>
      <c r="N1474" s="283"/>
      <c r="O1474" s="815"/>
      <c r="P1474" s="164"/>
      <c r="Q1474" s="529">
        <v>600</v>
      </c>
      <c r="R1474" s="529">
        <v>600</v>
      </c>
      <c r="S1474" s="933"/>
      <c r="T1474" s="933"/>
      <c r="U1474" s="933"/>
      <c r="X1474" s="16"/>
      <c r="Y1474" s="16"/>
    </row>
    <row r="1475" spans="1:25" s="42" customFormat="1" ht="15">
      <c r="A1475" s="740"/>
      <c r="B1475" s="446"/>
      <c r="C1475" s="164"/>
      <c r="D1475" s="444"/>
      <c r="E1475" s="647"/>
      <c r="H1475" s="283"/>
      <c r="I1475" s="283"/>
      <c r="K1475" s="283"/>
      <c r="L1475" s="283"/>
      <c r="M1475" s="283"/>
      <c r="N1475" s="283"/>
      <c r="O1475" s="815"/>
      <c r="P1475" s="164"/>
      <c r="Q1475" s="351"/>
      <c r="R1475" s="351"/>
      <c r="S1475" s="933"/>
      <c r="T1475" s="933"/>
      <c r="U1475" s="933"/>
      <c r="X1475" s="16"/>
      <c r="Y1475" s="16"/>
    </row>
    <row r="1476" spans="1:25" s="42" customFormat="1" ht="16.5" customHeight="1">
      <c r="A1476" s="740"/>
      <c r="B1476" s="446" t="s">
        <v>1600</v>
      </c>
      <c r="C1476" s="164" t="s">
        <v>2508</v>
      </c>
      <c r="D1476" s="444">
        <v>40899</v>
      </c>
      <c r="E1476" s="647"/>
      <c r="F1476" s="42" t="s">
        <v>341</v>
      </c>
      <c r="H1476" s="283"/>
      <c r="I1476" s="283"/>
      <c r="K1476" s="283">
        <v>175000</v>
      </c>
      <c r="L1476" s="283"/>
      <c r="M1476" s="283">
        <f t="shared" si="98"/>
        <v>175000</v>
      </c>
      <c r="N1476" s="283"/>
      <c r="O1476" s="815"/>
      <c r="P1476" s="164" t="s">
        <v>104</v>
      </c>
      <c r="Q1476" s="524">
        <v>175000</v>
      </c>
      <c r="R1476" s="524">
        <v>175000</v>
      </c>
      <c r="S1476" s="1336" t="s">
        <v>2319</v>
      </c>
      <c r="T1476" s="1336"/>
      <c r="U1476" s="1336"/>
      <c r="W1476" s="42" t="s">
        <v>2002</v>
      </c>
      <c r="X1476" s="16">
        <f t="shared" si="105"/>
        <v>175000</v>
      </c>
      <c r="Y1476" s="16">
        <f>X1476-M1476</f>
        <v>0</v>
      </c>
    </row>
    <row r="1477" spans="1:25" s="42" customFormat="1" ht="36.75" customHeight="1">
      <c r="A1477" s="740"/>
      <c r="B1477" s="446" t="s">
        <v>1687</v>
      </c>
      <c r="C1477" s="164" t="s">
        <v>2509</v>
      </c>
      <c r="D1477" s="444">
        <v>40899</v>
      </c>
      <c r="E1477" s="647"/>
      <c r="F1477" s="42" t="s">
        <v>315</v>
      </c>
      <c r="H1477" s="283"/>
      <c r="I1477" s="283"/>
      <c r="K1477" s="283">
        <v>78000</v>
      </c>
      <c r="L1477" s="283"/>
      <c r="M1477" s="283">
        <f t="shared" si="98"/>
        <v>78000</v>
      </c>
      <c r="N1477" s="283"/>
      <c r="O1477" s="815"/>
      <c r="P1477" s="164" t="s">
        <v>104</v>
      </c>
      <c r="Q1477" s="547">
        <f>SUM(Q1478:Q1502)</f>
        <v>78000</v>
      </c>
      <c r="R1477" s="547">
        <f>SUM(R1478:R1502)</f>
        <v>78000</v>
      </c>
      <c r="S1477" s="1328" t="s">
        <v>6275</v>
      </c>
      <c r="T1477" s="1328"/>
      <c r="U1477" s="1328"/>
      <c r="W1477" s="42" t="s">
        <v>2002</v>
      </c>
      <c r="X1477" s="16">
        <f t="shared" si="105"/>
        <v>78000</v>
      </c>
      <c r="Y1477" s="16">
        <f>X1477-M1477</f>
        <v>0</v>
      </c>
    </row>
    <row r="1478" spans="1:25" s="42" customFormat="1" ht="15">
      <c r="A1478" s="740"/>
      <c r="B1478" s="1077" t="s">
        <v>6250</v>
      </c>
      <c r="C1478" s="164"/>
      <c r="D1478" s="444"/>
      <c r="E1478" s="647"/>
      <c r="H1478" s="283"/>
      <c r="I1478" s="283"/>
      <c r="K1478" s="283"/>
      <c r="L1478" s="283"/>
      <c r="M1478" s="283"/>
      <c r="N1478" s="283"/>
      <c r="O1478" s="815"/>
      <c r="P1478" s="164"/>
      <c r="Q1478" s="67">
        <v>900</v>
      </c>
      <c r="R1478" s="67">
        <v>900</v>
      </c>
      <c r="S1478" s="933"/>
      <c r="T1478" s="933"/>
      <c r="U1478" s="933"/>
      <c r="X1478" s="16"/>
      <c r="Y1478" s="16"/>
    </row>
    <row r="1479" spans="1:25" s="42" customFormat="1" ht="15">
      <c r="A1479" s="740"/>
      <c r="B1479" s="1077" t="s">
        <v>6251</v>
      </c>
      <c r="C1479" s="164"/>
      <c r="D1479" s="444"/>
      <c r="E1479" s="647"/>
      <c r="H1479" s="283"/>
      <c r="I1479" s="283"/>
      <c r="K1479" s="283"/>
      <c r="L1479" s="283"/>
      <c r="M1479" s="283"/>
      <c r="N1479" s="283"/>
      <c r="O1479" s="815"/>
      <c r="P1479" s="164"/>
      <c r="Q1479" s="67">
        <v>1000</v>
      </c>
      <c r="R1479" s="67">
        <v>1000</v>
      </c>
      <c r="S1479" s="933"/>
      <c r="T1479" s="933"/>
      <c r="U1479" s="933"/>
      <c r="X1479" s="16"/>
      <c r="Y1479" s="16"/>
    </row>
    <row r="1480" spans="1:25" s="42" customFormat="1" ht="15">
      <c r="A1480" s="740"/>
      <c r="B1480" s="1077" t="s">
        <v>6252</v>
      </c>
      <c r="C1480" s="164"/>
      <c r="D1480" s="444"/>
      <c r="E1480" s="647"/>
      <c r="H1480" s="283"/>
      <c r="I1480" s="283"/>
      <c r="K1480" s="283"/>
      <c r="L1480" s="283"/>
      <c r="M1480" s="283"/>
      <c r="N1480" s="283"/>
      <c r="O1480" s="815"/>
      <c r="P1480" s="164"/>
      <c r="Q1480" s="67">
        <v>900</v>
      </c>
      <c r="R1480" s="67">
        <v>900</v>
      </c>
      <c r="S1480" s="933"/>
      <c r="T1480" s="933"/>
      <c r="U1480" s="933"/>
      <c r="X1480" s="16"/>
      <c r="Y1480" s="16"/>
    </row>
    <row r="1481" spans="1:25" s="42" customFormat="1" ht="15">
      <c r="A1481" s="740"/>
      <c r="B1481" s="1077" t="s">
        <v>6253</v>
      </c>
      <c r="C1481" s="164"/>
      <c r="D1481" s="444"/>
      <c r="E1481" s="647"/>
      <c r="H1481" s="283"/>
      <c r="I1481" s="283"/>
      <c r="K1481" s="283"/>
      <c r="L1481" s="283"/>
      <c r="M1481" s="283"/>
      <c r="N1481" s="283"/>
      <c r="O1481" s="815"/>
      <c r="P1481" s="164"/>
      <c r="Q1481" s="67">
        <v>900</v>
      </c>
      <c r="R1481" s="67">
        <v>900</v>
      </c>
      <c r="S1481" s="933"/>
      <c r="T1481" s="933"/>
      <c r="U1481" s="933"/>
      <c r="X1481" s="16"/>
      <c r="Y1481" s="16"/>
    </row>
    <row r="1482" spans="1:25" s="42" customFormat="1" ht="15">
      <c r="A1482" s="740"/>
      <c r="B1482" s="1077" t="s">
        <v>6254</v>
      </c>
      <c r="C1482" s="164"/>
      <c r="D1482" s="444"/>
      <c r="E1482" s="647"/>
      <c r="H1482" s="283"/>
      <c r="I1482" s="283"/>
      <c r="K1482" s="283"/>
      <c r="L1482" s="283"/>
      <c r="M1482" s="283"/>
      <c r="N1482" s="283"/>
      <c r="O1482" s="815"/>
      <c r="P1482" s="164"/>
      <c r="Q1482" s="67">
        <v>1000</v>
      </c>
      <c r="R1482" s="67">
        <v>1000</v>
      </c>
      <c r="S1482" s="933"/>
      <c r="T1482" s="933"/>
      <c r="U1482" s="933"/>
      <c r="X1482" s="16"/>
      <c r="Y1482" s="16"/>
    </row>
    <row r="1483" spans="1:25" s="42" customFormat="1" ht="15">
      <c r="A1483" s="740"/>
      <c r="B1483" s="1077" t="s">
        <v>6255</v>
      </c>
      <c r="C1483" s="164"/>
      <c r="D1483" s="444"/>
      <c r="E1483" s="647"/>
      <c r="H1483" s="283"/>
      <c r="I1483" s="283"/>
      <c r="K1483" s="283"/>
      <c r="L1483" s="283"/>
      <c r="M1483" s="283"/>
      <c r="N1483" s="283"/>
      <c r="O1483" s="815"/>
      <c r="P1483" s="164"/>
      <c r="Q1483" s="67">
        <v>800</v>
      </c>
      <c r="R1483" s="67">
        <v>800</v>
      </c>
      <c r="S1483" s="933"/>
      <c r="T1483" s="933"/>
      <c r="U1483" s="933"/>
      <c r="X1483" s="16"/>
      <c r="Y1483" s="16"/>
    </row>
    <row r="1484" spans="1:25" s="42" customFormat="1" ht="15">
      <c r="A1484" s="740"/>
      <c r="B1484" s="1077" t="s">
        <v>6256</v>
      </c>
      <c r="C1484" s="164"/>
      <c r="D1484" s="444"/>
      <c r="E1484" s="647"/>
      <c r="H1484" s="283"/>
      <c r="I1484" s="283"/>
      <c r="K1484" s="283"/>
      <c r="L1484" s="283"/>
      <c r="M1484" s="283"/>
      <c r="N1484" s="283"/>
      <c r="O1484" s="815"/>
      <c r="P1484" s="164"/>
      <c r="Q1484" s="67">
        <v>700</v>
      </c>
      <c r="R1484" s="67">
        <v>700</v>
      </c>
      <c r="S1484" s="933"/>
      <c r="T1484" s="933"/>
      <c r="U1484" s="933"/>
      <c r="X1484" s="16"/>
      <c r="Y1484" s="16"/>
    </row>
    <row r="1485" spans="1:25" s="42" customFormat="1" ht="15">
      <c r="A1485" s="740"/>
      <c r="B1485" s="1077" t="s">
        <v>6257</v>
      </c>
      <c r="C1485" s="164"/>
      <c r="D1485" s="444"/>
      <c r="E1485" s="647"/>
      <c r="H1485" s="283"/>
      <c r="I1485" s="283"/>
      <c r="K1485" s="283"/>
      <c r="L1485" s="283"/>
      <c r="M1485" s="283"/>
      <c r="N1485" s="283"/>
      <c r="O1485" s="815"/>
      <c r="P1485" s="164"/>
      <c r="Q1485" s="67">
        <v>1000</v>
      </c>
      <c r="R1485" s="67">
        <v>1000</v>
      </c>
      <c r="S1485" s="933"/>
      <c r="T1485" s="933"/>
      <c r="U1485" s="933"/>
      <c r="X1485" s="16"/>
      <c r="Y1485" s="16"/>
    </row>
    <row r="1486" spans="1:25" s="42" customFormat="1" ht="15">
      <c r="A1486" s="740"/>
      <c r="B1486" s="1077" t="s">
        <v>6258</v>
      </c>
      <c r="C1486" s="164"/>
      <c r="D1486" s="444"/>
      <c r="E1486" s="647"/>
      <c r="H1486" s="283"/>
      <c r="I1486" s="283"/>
      <c r="K1486" s="283"/>
      <c r="L1486" s="283"/>
      <c r="M1486" s="283"/>
      <c r="N1486" s="283"/>
      <c r="O1486" s="815"/>
      <c r="P1486" s="164"/>
      <c r="Q1486" s="67">
        <v>1000</v>
      </c>
      <c r="R1486" s="67">
        <v>1000</v>
      </c>
      <c r="S1486" s="933"/>
      <c r="T1486" s="933"/>
      <c r="U1486" s="933"/>
      <c r="X1486" s="16"/>
      <c r="Y1486" s="16"/>
    </row>
    <row r="1487" spans="1:25" s="42" customFormat="1" ht="15">
      <c r="A1487" s="740"/>
      <c r="B1487" s="1077" t="s">
        <v>6259</v>
      </c>
      <c r="C1487" s="164"/>
      <c r="D1487" s="444"/>
      <c r="E1487" s="647"/>
      <c r="H1487" s="283"/>
      <c r="I1487" s="283"/>
      <c r="K1487" s="283"/>
      <c r="L1487" s="283"/>
      <c r="M1487" s="283"/>
      <c r="N1487" s="283"/>
      <c r="O1487" s="815"/>
      <c r="P1487" s="164"/>
      <c r="Q1487" s="67">
        <v>1000</v>
      </c>
      <c r="R1487" s="67">
        <v>1000</v>
      </c>
      <c r="S1487" s="933"/>
      <c r="T1487" s="933"/>
      <c r="U1487" s="933"/>
      <c r="X1487" s="16"/>
      <c r="Y1487" s="16"/>
    </row>
    <row r="1488" spans="1:25" s="42" customFormat="1" ht="15">
      <c r="A1488" s="740"/>
      <c r="B1488" s="1077" t="s">
        <v>6260</v>
      </c>
      <c r="C1488" s="164"/>
      <c r="D1488" s="444"/>
      <c r="E1488" s="647"/>
      <c r="H1488" s="283"/>
      <c r="I1488" s="283"/>
      <c r="K1488" s="283"/>
      <c r="L1488" s="283"/>
      <c r="M1488" s="283"/>
      <c r="N1488" s="283"/>
      <c r="O1488" s="815"/>
      <c r="P1488" s="164"/>
      <c r="Q1488" s="67">
        <v>2000</v>
      </c>
      <c r="R1488" s="67">
        <v>2000</v>
      </c>
      <c r="S1488" s="933"/>
      <c r="T1488" s="933"/>
      <c r="U1488" s="933"/>
      <c r="X1488" s="16"/>
      <c r="Y1488" s="16"/>
    </row>
    <row r="1489" spans="1:25" s="42" customFormat="1" ht="30" customHeight="1">
      <c r="A1489" s="740"/>
      <c r="B1489" s="1077" t="s">
        <v>6261</v>
      </c>
      <c r="C1489" s="164"/>
      <c r="D1489" s="444"/>
      <c r="E1489" s="647"/>
      <c r="H1489" s="283"/>
      <c r="I1489" s="283"/>
      <c r="K1489" s="283"/>
      <c r="L1489" s="283"/>
      <c r="M1489" s="283"/>
      <c r="N1489" s="283"/>
      <c r="O1489" s="815"/>
      <c r="P1489" s="164"/>
      <c r="Q1489" s="67">
        <v>55000</v>
      </c>
      <c r="R1489" s="67">
        <v>55000</v>
      </c>
      <c r="S1489" s="1328" t="s">
        <v>6276</v>
      </c>
      <c r="T1489" s="1328"/>
      <c r="U1489" s="1328"/>
      <c r="X1489" s="16"/>
      <c r="Y1489" s="16"/>
    </row>
    <row r="1490" spans="1:25" s="42" customFormat="1" ht="34.5" customHeight="1">
      <c r="A1490" s="740"/>
      <c r="B1490" s="1083" t="s">
        <v>6262</v>
      </c>
      <c r="C1490" s="164"/>
      <c r="D1490" s="444"/>
      <c r="E1490" s="647"/>
      <c r="H1490" s="283"/>
      <c r="I1490" s="283"/>
      <c r="K1490" s="283"/>
      <c r="L1490" s="283"/>
      <c r="M1490" s="283"/>
      <c r="N1490" s="283"/>
      <c r="O1490" s="815"/>
      <c r="P1490" s="164"/>
      <c r="Q1490" s="105">
        <v>1000</v>
      </c>
      <c r="R1490" s="105">
        <v>1000</v>
      </c>
      <c r="S1490" s="1326" t="s">
        <v>6277</v>
      </c>
      <c r="T1490" s="1326"/>
      <c r="U1490" s="1326"/>
      <c r="X1490" s="16"/>
      <c r="Y1490" s="16"/>
    </row>
    <row r="1491" spans="1:25" s="42" customFormat="1" ht="15">
      <c r="A1491" s="740"/>
      <c r="B1491" s="1077" t="s">
        <v>6263</v>
      </c>
      <c r="C1491" s="164"/>
      <c r="D1491" s="444"/>
      <c r="E1491" s="647"/>
      <c r="H1491" s="283"/>
      <c r="I1491" s="283"/>
      <c r="K1491" s="283"/>
      <c r="L1491" s="283"/>
      <c r="M1491" s="283"/>
      <c r="N1491" s="283"/>
      <c r="O1491" s="815"/>
      <c r="P1491" s="164"/>
      <c r="Q1491" s="67">
        <v>1000</v>
      </c>
      <c r="R1491" s="67">
        <v>1000</v>
      </c>
      <c r="S1491" s="933"/>
      <c r="T1491" s="933"/>
      <c r="U1491" s="933"/>
      <c r="X1491" s="16"/>
      <c r="Y1491" s="16"/>
    </row>
    <row r="1492" spans="1:25" s="42" customFormat="1" ht="45" customHeight="1">
      <c r="A1492" s="740"/>
      <c r="B1492" s="1083" t="s">
        <v>6264</v>
      </c>
      <c r="C1492" s="164"/>
      <c r="D1492" s="444"/>
      <c r="E1492" s="647"/>
      <c r="H1492" s="283"/>
      <c r="I1492" s="283"/>
      <c r="K1492" s="283"/>
      <c r="L1492" s="283"/>
      <c r="M1492" s="283"/>
      <c r="N1492" s="283"/>
      <c r="O1492" s="815"/>
      <c r="P1492" s="164"/>
      <c r="Q1492" s="105">
        <v>1000</v>
      </c>
      <c r="R1492" s="105">
        <v>1000</v>
      </c>
      <c r="S1492" s="1326" t="s">
        <v>6278</v>
      </c>
      <c r="T1492" s="1326"/>
      <c r="U1492" s="1326"/>
      <c r="X1492" s="16"/>
      <c r="Y1492" s="16"/>
    </row>
    <row r="1493" spans="1:25" s="42" customFormat="1" ht="15">
      <c r="A1493" s="740"/>
      <c r="B1493" s="1077" t="s">
        <v>6265</v>
      </c>
      <c r="C1493" s="164"/>
      <c r="D1493" s="444"/>
      <c r="E1493" s="647"/>
      <c r="H1493" s="283"/>
      <c r="I1493" s="283"/>
      <c r="K1493" s="283"/>
      <c r="L1493" s="283"/>
      <c r="M1493" s="283"/>
      <c r="N1493" s="283"/>
      <c r="O1493" s="815"/>
      <c r="P1493" s="164"/>
      <c r="Q1493" s="67">
        <v>900</v>
      </c>
      <c r="R1493" s="67">
        <v>900</v>
      </c>
      <c r="S1493" s="933"/>
      <c r="T1493" s="933"/>
      <c r="U1493" s="933"/>
      <c r="X1493" s="16"/>
      <c r="Y1493" s="16"/>
    </row>
    <row r="1494" spans="1:25" s="42" customFormat="1" ht="15">
      <c r="A1494" s="740"/>
      <c r="B1494" s="1077" t="s">
        <v>6266</v>
      </c>
      <c r="C1494" s="164"/>
      <c r="D1494" s="444"/>
      <c r="E1494" s="647"/>
      <c r="H1494" s="283"/>
      <c r="I1494" s="283"/>
      <c r="K1494" s="283"/>
      <c r="L1494" s="283"/>
      <c r="M1494" s="283"/>
      <c r="N1494" s="283"/>
      <c r="O1494" s="815"/>
      <c r="P1494" s="164"/>
      <c r="Q1494" s="67">
        <v>1000</v>
      </c>
      <c r="R1494" s="67">
        <v>1000</v>
      </c>
      <c r="S1494" s="933"/>
      <c r="T1494" s="933"/>
      <c r="U1494" s="933"/>
      <c r="X1494" s="16"/>
      <c r="Y1494" s="16"/>
    </row>
    <row r="1495" spans="1:25" s="42" customFormat="1" ht="15">
      <c r="A1495" s="740"/>
      <c r="B1495" s="1077" t="s">
        <v>6267</v>
      </c>
      <c r="C1495" s="164"/>
      <c r="D1495" s="444"/>
      <c r="E1495" s="647"/>
      <c r="H1495" s="283"/>
      <c r="I1495" s="283"/>
      <c r="K1495" s="283"/>
      <c r="L1495" s="283"/>
      <c r="M1495" s="283"/>
      <c r="N1495" s="283"/>
      <c r="O1495" s="815"/>
      <c r="P1495" s="164"/>
      <c r="Q1495" s="67">
        <v>800</v>
      </c>
      <c r="R1495" s="67">
        <v>800</v>
      </c>
      <c r="S1495" s="933"/>
      <c r="T1495" s="933"/>
      <c r="U1495" s="933"/>
      <c r="X1495" s="16"/>
      <c r="Y1495" s="16"/>
    </row>
    <row r="1496" spans="1:25" s="42" customFormat="1" ht="15">
      <c r="A1496" s="740"/>
      <c r="B1496" s="1077" t="s">
        <v>6268</v>
      </c>
      <c r="C1496" s="164"/>
      <c r="D1496" s="444"/>
      <c r="E1496" s="647"/>
      <c r="H1496" s="283"/>
      <c r="I1496" s="283"/>
      <c r="K1496" s="283"/>
      <c r="L1496" s="283"/>
      <c r="M1496" s="283"/>
      <c r="N1496" s="283"/>
      <c r="O1496" s="815"/>
      <c r="P1496" s="164"/>
      <c r="Q1496" s="67">
        <v>600</v>
      </c>
      <c r="R1496" s="67">
        <v>600</v>
      </c>
      <c r="S1496" s="933"/>
      <c r="T1496" s="933"/>
      <c r="U1496" s="933"/>
      <c r="X1496" s="16"/>
      <c r="Y1496" s="16"/>
    </row>
    <row r="1497" spans="1:25" s="42" customFormat="1" ht="15">
      <c r="A1497" s="740"/>
      <c r="B1497" s="1077" t="s">
        <v>6269</v>
      </c>
      <c r="C1497" s="164"/>
      <c r="D1497" s="444"/>
      <c r="E1497" s="647"/>
      <c r="H1497" s="283"/>
      <c r="I1497" s="283"/>
      <c r="K1497" s="283"/>
      <c r="L1497" s="283"/>
      <c r="M1497" s="283"/>
      <c r="N1497" s="283"/>
      <c r="O1497" s="815"/>
      <c r="P1497" s="164"/>
      <c r="Q1497" s="67">
        <v>800</v>
      </c>
      <c r="R1497" s="67">
        <v>800</v>
      </c>
      <c r="S1497" s="933"/>
      <c r="T1497" s="933"/>
      <c r="U1497" s="933"/>
      <c r="X1497" s="16"/>
      <c r="Y1497" s="16"/>
    </row>
    <row r="1498" spans="1:25" s="42" customFormat="1" ht="15">
      <c r="A1498" s="740"/>
      <c r="B1498" s="1077" t="s">
        <v>6270</v>
      </c>
      <c r="C1498" s="164"/>
      <c r="D1498" s="444"/>
      <c r="E1498" s="647"/>
      <c r="H1498" s="283"/>
      <c r="I1498" s="283"/>
      <c r="K1498" s="283"/>
      <c r="L1498" s="283"/>
      <c r="M1498" s="283"/>
      <c r="N1498" s="283"/>
      <c r="O1498" s="815"/>
      <c r="P1498" s="164"/>
      <c r="Q1498" s="67">
        <v>800</v>
      </c>
      <c r="R1498" s="67">
        <v>800</v>
      </c>
      <c r="S1498" s="933"/>
      <c r="T1498" s="933"/>
      <c r="U1498" s="933"/>
      <c r="X1498" s="16"/>
      <c r="Y1498" s="16"/>
    </row>
    <row r="1499" spans="1:25" s="42" customFormat="1" ht="15">
      <c r="A1499" s="740"/>
      <c r="B1499" s="1077" t="s">
        <v>6271</v>
      </c>
      <c r="C1499" s="164"/>
      <c r="D1499" s="444"/>
      <c r="E1499" s="647"/>
      <c r="H1499" s="283"/>
      <c r="I1499" s="283"/>
      <c r="K1499" s="283"/>
      <c r="L1499" s="283"/>
      <c r="M1499" s="283"/>
      <c r="N1499" s="283"/>
      <c r="O1499" s="815"/>
      <c r="P1499" s="164"/>
      <c r="Q1499" s="67">
        <v>1000</v>
      </c>
      <c r="R1499" s="67">
        <v>1000</v>
      </c>
      <c r="S1499" s="933"/>
      <c r="T1499" s="933"/>
      <c r="U1499" s="933"/>
      <c r="X1499" s="16"/>
      <c r="Y1499" s="16"/>
    </row>
    <row r="1500" spans="1:25" s="42" customFormat="1" ht="15">
      <c r="A1500" s="740"/>
      <c r="B1500" s="1077" t="s">
        <v>6272</v>
      </c>
      <c r="C1500" s="164"/>
      <c r="D1500" s="444"/>
      <c r="E1500" s="647"/>
      <c r="H1500" s="283"/>
      <c r="I1500" s="283"/>
      <c r="K1500" s="283"/>
      <c r="L1500" s="283"/>
      <c r="M1500" s="283"/>
      <c r="N1500" s="283"/>
      <c r="O1500" s="815"/>
      <c r="P1500" s="164"/>
      <c r="Q1500" s="67">
        <v>1000</v>
      </c>
      <c r="R1500" s="67">
        <v>1000</v>
      </c>
      <c r="S1500" s="933"/>
      <c r="T1500" s="933"/>
      <c r="U1500" s="933"/>
      <c r="X1500" s="16"/>
      <c r="Y1500" s="16"/>
    </row>
    <row r="1501" spans="1:25" s="42" customFormat="1" ht="15">
      <c r="A1501" s="740"/>
      <c r="B1501" s="1077" t="s">
        <v>6273</v>
      </c>
      <c r="C1501" s="164"/>
      <c r="D1501" s="444"/>
      <c r="E1501" s="647"/>
      <c r="H1501" s="283"/>
      <c r="I1501" s="283"/>
      <c r="K1501" s="283"/>
      <c r="L1501" s="283"/>
      <c r="M1501" s="283"/>
      <c r="N1501" s="283"/>
      <c r="O1501" s="815"/>
      <c r="P1501" s="164"/>
      <c r="Q1501" s="67">
        <v>1000</v>
      </c>
      <c r="R1501" s="67">
        <v>1000</v>
      </c>
      <c r="S1501" s="933"/>
      <c r="T1501" s="933"/>
      <c r="U1501" s="933"/>
      <c r="X1501" s="16"/>
      <c r="Y1501" s="16"/>
    </row>
    <row r="1502" spans="1:25" s="42" customFormat="1" ht="15">
      <c r="A1502" s="740"/>
      <c r="B1502" s="1077" t="s">
        <v>6274</v>
      </c>
      <c r="C1502" s="164"/>
      <c r="D1502" s="444"/>
      <c r="E1502" s="647"/>
      <c r="H1502" s="283"/>
      <c r="I1502" s="283"/>
      <c r="K1502" s="283"/>
      <c r="L1502" s="283"/>
      <c r="M1502" s="283"/>
      <c r="N1502" s="283"/>
      <c r="O1502" s="815"/>
      <c r="P1502" s="164"/>
      <c r="Q1502" s="67">
        <v>900</v>
      </c>
      <c r="R1502" s="67">
        <v>900</v>
      </c>
      <c r="S1502" s="933"/>
      <c r="T1502" s="933"/>
      <c r="U1502" s="933"/>
      <c r="X1502" s="16"/>
      <c r="Y1502" s="16"/>
    </row>
    <row r="1503" spans="1:25" s="42" customFormat="1" ht="33" customHeight="1">
      <c r="A1503" s="740"/>
      <c r="B1503" s="101" t="s">
        <v>1642</v>
      </c>
      <c r="C1503" s="108" t="s">
        <v>2511</v>
      </c>
      <c r="D1503" s="527">
        <v>40899</v>
      </c>
      <c r="E1503" s="647"/>
      <c r="F1503" s="525" t="s">
        <v>2510</v>
      </c>
      <c r="G1503" s="525"/>
      <c r="H1503" s="21"/>
      <c r="I1503" s="21"/>
      <c r="J1503" s="525"/>
      <c r="K1503" s="21">
        <v>60000</v>
      </c>
      <c r="L1503" s="21"/>
      <c r="M1503" s="21">
        <f t="shared" si="98"/>
        <v>60000</v>
      </c>
      <c r="N1503" s="21"/>
      <c r="O1503" s="58"/>
      <c r="P1503" s="108" t="s">
        <v>104</v>
      </c>
      <c r="Q1503" s="508">
        <v>60000</v>
      </c>
      <c r="R1503" s="508">
        <v>60000</v>
      </c>
      <c r="S1503" s="1346" t="s">
        <v>4735</v>
      </c>
      <c r="T1503" s="1346"/>
      <c r="U1503" s="1346"/>
      <c r="W1503" s="525" t="s">
        <v>2002</v>
      </c>
      <c r="X1503" s="16">
        <f t="shared" si="105"/>
        <v>60000</v>
      </c>
      <c r="Y1503" s="16">
        <f>X1503-M1503</f>
        <v>0</v>
      </c>
    </row>
    <row r="1504" spans="1:25" s="231" customFormat="1" ht="15">
      <c r="A1504" s="237"/>
      <c r="B1504" s="446" t="s">
        <v>1648</v>
      </c>
      <c r="C1504" s="164" t="s">
        <v>2512</v>
      </c>
      <c r="D1504" s="444">
        <v>41262</v>
      </c>
      <c r="E1504" s="647"/>
      <c r="F1504" s="42" t="s">
        <v>315</v>
      </c>
      <c r="G1504" s="42"/>
      <c r="H1504" s="283"/>
      <c r="I1504" s="283"/>
      <c r="J1504" s="42"/>
      <c r="K1504" s="283">
        <v>110000</v>
      </c>
      <c r="L1504" s="283"/>
      <c r="M1504" s="283">
        <f t="shared" si="98"/>
        <v>110000</v>
      </c>
      <c r="N1504" s="283"/>
      <c r="O1504" s="812"/>
      <c r="P1504" s="164" t="s">
        <v>104</v>
      </c>
      <c r="Q1504" s="541">
        <f>SUM(Q1505:Q1506)</f>
        <v>110000</v>
      </c>
      <c r="R1504" s="541">
        <f>SUM(R1505:R1506)</f>
        <v>110000</v>
      </c>
      <c r="S1504" s="515"/>
      <c r="T1504" s="515"/>
      <c r="U1504" s="515"/>
      <c r="W1504" s="42" t="s">
        <v>2002</v>
      </c>
      <c r="X1504" s="16">
        <f t="shared" si="105"/>
        <v>110000</v>
      </c>
      <c r="Y1504" s="16">
        <f>X1504-M1504</f>
        <v>0</v>
      </c>
    </row>
    <row r="1505" spans="1:65" s="231" customFormat="1" ht="15">
      <c r="A1505" s="237"/>
      <c r="B1505" s="542" t="s">
        <v>2513</v>
      </c>
      <c r="C1505" s="164"/>
      <c r="D1505" s="444"/>
      <c r="E1505" s="108"/>
      <c r="F1505" s="42"/>
      <c r="G1505" s="42"/>
      <c r="H1505" s="283"/>
      <c r="I1505" s="283"/>
      <c r="J1505" s="42"/>
      <c r="K1505" s="283"/>
      <c r="L1505" s="283"/>
      <c r="M1505" s="283"/>
      <c r="N1505" s="283"/>
      <c r="O1505" s="812"/>
      <c r="P1505" s="164"/>
      <c r="Q1505" s="529">
        <v>50000</v>
      </c>
      <c r="R1505" s="529">
        <v>50000</v>
      </c>
      <c r="S1505" s="1337" t="s">
        <v>2319</v>
      </c>
      <c r="T1505" s="1337"/>
      <c r="U1505" s="1337"/>
      <c r="W1505" s="42"/>
      <c r="X1505" s="16"/>
      <c r="Y1505" s="16"/>
    </row>
    <row r="1506" spans="1:65" s="231" customFormat="1" ht="15">
      <c r="A1506" s="237"/>
      <c r="B1506" s="542" t="s">
        <v>2514</v>
      </c>
      <c r="C1506" s="164"/>
      <c r="D1506" s="444"/>
      <c r="E1506" s="108"/>
      <c r="F1506" s="42"/>
      <c r="G1506" s="42"/>
      <c r="H1506" s="283"/>
      <c r="I1506" s="283"/>
      <c r="J1506" s="42"/>
      <c r="K1506" s="283"/>
      <c r="L1506" s="283"/>
      <c r="M1506" s="283"/>
      <c r="N1506" s="283"/>
      <c r="O1506" s="812"/>
      <c r="P1506" s="164"/>
      <c r="Q1506" s="529">
        <v>60000</v>
      </c>
      <c r="R1506" s="529">
        <v>60000</v>
      </c>
      <c r="S1506" s="1337" t="s">
        <v>2319</v>
      </c>
      <c r="T1506" s="1337"/>
      <c r="U1506" s="1337"/>
      <c r="W1506" s="42"/>
      <c r="X1506" s="16"/>
      <c r="Y1506" s="16"/>
    </row>
    <row r="1507" spans="1:65" s="231" customFormat="1" ht="15">
      <c r="A1507" s="237"/>
      <c r="B1507" s="446"/>
      <c r="C1507" s="164"/>
      <c r="D1507" s="444"/>
      <c r="E1507" s="647"/>
      <c r="F1507" s="42"/>
      <c r="G1507" s="42"/>
      <c r="H1507" s="283"/>
      <c r="I1507" s="283"/>
      <c r="J1507" s="42"/>
      <c r="K1507" s="283"/>
      <c r="L1507" s="283"/>
      <c r="M1507" s="283"/>
      <c r="N1507" s="283"/>
      <c r="O1507" s="812"/>
      <c r="P1507" s="164"/>
      <c r="Q1507" s="243"/>
      <c r="R1507" s="243"/>
      <c r="S1507" s="1117"/>
      <c r="T1507" s="1117"/>
      <c r="U1507" s="1117"/>
      <c r="W1507" s="42"/>
      <c r="X1507" s="16"/>
      <c r="Y1507" s="16"/>
    </row>
    <row r="1508" spans="1:65" s="709" customFormat="1" ht="16.5">
      <c r="A1508" s="741"/>
      <c r="B1508" s="543"/>
      <c r="C1508" s="372"/>
      <c r="D1508" s="539"/>
      <c r="E1508" s="785"/>
      <c r="F1508" s="537"/>
      <c r="G1508" s="538"/>
      <c r="H1508" s="357"/>
      <c r="I1508" s="357"/>
      <c r="J1508" s="231"/>
      <c r="K1508" s="357"/>
      <c r="L1508" s="238"/>
      <c r="M1508" s="544"/>
      <c r="N1508" s="357"/>
      <c r="O1508" s="193"/>
      <c r="P1508" s="773"/>
      <c r="Q1508" s="351"/>
      <c r="R1508" s="351"/>
      <c r="S1508" s="933"/>
      <c r="T1508" s="933"/>
      <c r="U1508" s="933"/>
      <c r="V1508" s="231" t="s">
        <v>517</v>
      </c>
      <c r="X1508" s="16">
        <f t="shared" si="105"/>
        <v>0</v>
      </c>
      <c r="Y1508" s="16">
        <f>X1508-M1508</f>
        <v>0</v>
      </c>
    </row>
    <row r="1509" spans="1:65" s="739" customFormat="1" ht="15.95" customHeight="1">
      <c r="B1509" s="35" t="s">
        <v>71</v>
      </c>
      <c r="C1509" s="164"/>
      <c r="D1509" s="531"/>
      <c r="E1509" s="647"/>
      <c r="F1509" s="42"/>
      <c r="G1509" s="42"/>
      <c r="H1509" s="283"/>
      <c r="I1509" s="283"/>
      <c r="J1509" s="283"/>
      <c r="K1509" s="283"/>
      <c r="L1509" s="42"/>
      <c r="M1509" s="284">
        <f>M1510+M1513+M1516</f>
        <v>786000</v>
      </c>
      <c r="N1509" s="42"/>
      <c r="O1509" s="166"/>
      <c r="P1509" s="1151"/>
      <c r="Q1509" s="284">
        <f t="shared" ref="Q1509:R1509" si="106">Q1510+Q1513+Q1516</f>
        <v>786000</v>
      </c>
      <c r="R1509" s="284">
        <f t="shared" si="106"/>
        <v>269029</v>
      </c>
      <c r="S1509" s="877"/>
      <c r="T1509" s="877"/>
      <c r="U1509" s="877"/>
      <c r="V1509" s="38"/>
      <c r="X1509" s="16"/>
      <c r="Y1509" s="16"/>
    </row>
    <row r="1510" spans="1:65" s="16" customFormat="1" ht="15">
      <c r="A1510" s="236"/>
      <c r="B1510" s="551" t="s">
        <v>2758</v>
      </c>
      <c r="C1510" s="348"/>
      <c r="D1510" s="190"/>
      <c r="E1510" s="372"/>
      <c r="F1510" s="548"/>
      <c r="G1510" s="551"/>
      <c r="H1510" s="93"/>
      <c r="I1510" s="93"/>
      <c r="J1510" s="7">
        <f>J1511</f>
        <v>0</v>
      </c>
      <c r="K1510" s="7">
        <f t="shared" ref="K1510:L1510" si="107">K1511</f>
        <v>300000</v>
      </c>
      <c r="L1510" s="7">
        <f t="shared" si="107"/>
        <v>0</v>
      </c>
      <c r="M1510" s="7">
        <f>M1511</f>
        <v>300000</v>
      </c>
      <c r="N1510" s="6"/>
      <c r="O1510" s="1136"/>
      <c r="P1510" s="1140"/>
      <c r="Q1510" s="7">
        <f t="shared" ref="Q1510:R1510" si="108">Q1511</f>
        <v>300000</v>
      </c>
      <c r="R1510" s="7">
        <f t="shared" si="108"/>
        <v>16288</v>
      </c>
      <c r="S1510" s="876"/>
      <c r="T1510" s="876"/>
      <c r="U1510" s="876"/>
      <c r="V1510" s="31" t="s">
        <v>517</v>
      </c>
      <c r="X1510" s="16">
        <f t="shared" ref="X1510" si="109">SUM(J1510:L1510)</f>
        <v>300000</v>
      </c>
      <c r="Y1510" s="16">
        <f>X1510-M1510</f>
        <v>0</v>
      </c>
    </row>
    <row r="1511" spans="1:65" s="39" customFormat="1" ht="45" customHeight="1">
      <c r="B1511" s="646" t="s">
        <v>2759</v>
      </c>
      <c r="C1511" s="108" t="s">
        <v>81</v>
      </c>
      <c r="D1511" s="527">
        <v>40899</v>
      </c>
      <c r="E1511" s="647" t="s">
        <v>4618</v>
      </c>
      <c r="F1511" s="413" t="s">
        <v>4617</v>
      </c>
      <c r="G1511" s="101"/>
      <c r="H1511" s="93"/>
      <c r="I1511" s="93"/>
      <c r="J1511" s="35"/>
      <c r="K1511" s="21">
        <v>300000</v>
      </c>
      <c r="L1511" s="35"/>
      <c r="M1511" s="22">
        <f>SUM(J1511:L1511)</f>
        <v>300000</v>
      </c>
      <c r="N1511" s="35"/>
      <c r="O1511" s="23"/>
      <c r="P1511" s="1137" t="s">
        <v>102</v>
      </c>
      <c r="Q1511" s="216">
        <v>300000</v>
      </c>
      <c r="R1511" s="216">
        <v>16288</v>
      </c>
      <c r="S1511" s="1330" t="s">
        <v>6086</v>
      </c>
      <c r="T1511" s="1330"/>
      <c r="U1511" s="1330"/>
      <c r="V1511" s="22"/>
      <c r="W1511" s="12" t="s">
        <v>76</v>
      </c>
      <c r="X1511" s="16">
        <f t="shared" ref="X1511" si="110">SUM(J1511:L1511)</f>
        <v>300000</v>
      </c>
      <c r="Y1511" s="16">
        <f>X1511-M1511</f>
        <v>0</v>
      </c>
    </row>
    <row r="1512" spans="1:65" s="39" customFormat="1" ht="15.95" customHeight="1">
      <c r="B1512" s="646"/>
      <c r="C1512" s="108"/>
      <c r="D1512" s="527"/>
      <c r="E1512" s="647"/>
      <c r="F1512" s="413"/>
      <c r="G1512" s="101"/>
      <c r="H1512" s="93"/>
      <c r="I1512" s="93"/>
      <c r="J1512" s="35"/>
      <c r="K1512" s="21"/>
      <c r="L1512" s="35"/>
      <c r="M1512" s="22"/>
      <c r="N1512" s="35"/>
      <c r="O1512" s="23"/>
      <c r="P1512" s="1137"/>
      <c r="Q1512" s="216"/>
      <c r="R1512" s="216"/>
      <c r="S1512" s="877"/>
      <c r="T1512" s="877"/>
      <c r="U1512" s="877"/>
      <c r="V1512" s="22"/>
      <c r="X1512" s="16"/>
      <c r="Y1512" s="16"/>
    </row>
    <row r="1513" spans="1:65" s="30" customFormat="1" ht="18" customHeight="1">
      <c r="A1513" s="112"/>
      <c r="B1513" s="97" t="s">
        <v>2772</v>
      </c>
      <c r="C1513" s="1137"/>
      <c r="D1513" s="13"/>
      <c r="E1513" s="77"/>
      <c r="F1513" s="413"/>
      <c r="G1513" s="10"/>
      <c r="H1513" s="93"/>
      <c r="I1513" s="93"/>
      <c r="J1513" s="7">
        <f>SUM(J1514:J1515)</f>
        <v>0</v>
      </c>
      <c r="K1513" s="7">
        <f>SUM(K1514:K1515)</f>
        <v>250000</v>
      </c>
      <c r="L1513" s="7">
        <f>SUM(L1514:L1515)</f>
        <v>0</v>
      </c>
      <c r="M1513" s="7">
        <f>SUM(M1514:M1515)</f>
        <v>250000</v>
      </c>
      <c r="N1513" s="6"/>
      <c r="O1513" s="58"/>
      <c r="P1513" s="32"/>
      <c r="Q1513" s="7">
        <f t="shared" ref="Q1513:R1513" si="111">SUM(Q1514:Q1515)</f>
        <v>250000</v>
      </c>
      <c r="R1513" s="7">
        <f t="shared" si="111"/>
        <v>162000</v>
      </c>
      <c r="S1513" s="927"/>
      <c r="T1513" s="927"/>
      <c r="U1513" s="927"/>
      <c r="V1513" s="209" t="s">
        <v>517</v>
      </c>
      <c r="X1513" s="16">
        <f>SUM(J1513:L1513)</f>
        <v>250000</v>
      </c>
      <c r="Y1513" s="16">
        <f t="shared" ref="Y1513:Y1534" si="112">X1513-M1513</f>
        <v>0</v>
      </c>
    </row>
    <row r="1514" spans="1:65" s="39" customFormat="1" ht="45">
      <c r="B1514" s="553" t="s">
        <v>5797</v>
      </c>
      <c r="C1514" s="108" t="s">
        <v>83</v>
      </c>
      <c r="D1514" s="527">
        <v>40899</v>
      </c>
      <c r="E1514" s="647" t="s">
        <v>4618</v>
      </c>
      <c r="F1514" s="413" t="s">
        <v>4617</v>
      </c>
      <c r="G1514" s="101"/>
      <c r="H1514" s="67"/>
      <c r="I1514" s="67"/>
      <c r="J1514" s="35"/>
      <c r="K1514" s="21">
        <v>250000</v>
      </c>
      <c r="L1514" s="21"/>
      <c r="M1514" s="22">
        <f>SUM(J1514:L1514)</f>
        <v>250000</v>
      </c>
      <c r="N1514" s="21"/>
      <c r="O1514" s="23"/>
      <c r="P1514" s="1137" t="s">
        <v>102</v>
      </c>
      <c r="Q1514" s="216">
        <v>250000</v>
      </c>
      <c r="R1514" s="216">
        <v>162000</v>
      </c>
      <c r="S1514" s="1388" t="s">
        <v>6087</v>
      </c>
      <c r="T1514" s="1388"/>
      <c r="U1514" s="1388"/>
      <c r="V1514" s="22"/>
      <c r="W1514" s="31" t="s">
        <v>84</v>
      </c>
      <c r="X1514" s="16">
        <f>SUM(J1514:L1514)</f>
        <v>250000</v>
      </c>
      <c r="Y1514" s="16">
        <f t="shared" si="112"/>
        <v>0</v>
      </c>
    </row>
    <row r="1515" spans="1:65" s="30" customFormat="1" ht="15">
      <c r="A1515" s="112"/>
      <c r="B1515" s="21"/>
      <c r="C1515" s="23"/>
      <c r="D1515" s="380"/>
      <c r="E1515" s="58"/>
      <c r="F1515" s="21"/>
      <c r="G1515" s="21"/>
      <c r="H1515" s="21"/>
      <c r="I1515" s="21"/>
      <c r="J1515" s="22"/>
      <c r="K1515" s="22"/>
      <c r="L1515" s="22"/>
      <c r="M1515" s="22"/>
      <c r="N1515" s="22"/>
      <c r="O1515" s="117"/>
      <c r="P1515" s="165"/>
      <c r="Q1515" s="93"/>
      <c r="R1515" s="93"/>
      <c r="S1515" s="876"/>
      <c r="T1515" s="876"/>
      <c r="U1515" s="876"/>
      <c r="V1515" s="31"/>
      <c r="W1515" s="31"/>
      <c r="X1515" s="16">
        <f>SUM(J1515:L1515)</f>
        <v>0</v>
      </c>
      <c r="Y1515" s="16">
        <f t="shared" si="112"/>
        <v>0</v>
      </c>
    </row>
    <row r="1516" spans="1:65" s="30" customFormat="1" ht="15">
      <c r="A1516" s="112"/>
      <c r="B1516" s="97" t="s">
        <v>2773</v>
      </c>
      <c r="C1516" s="1137"/>
      <c r="D1516" s="13"/>
      <c r="E1516" s="77"/>
      <c r="F1516" s="413"/>
      <c r="G1516" s="10"/>
      <c r="H1516" s="93"/>
      <c r="I1516" s="93"/>
      <c r="J1516" s="7">
        <f>SUM(J2874:J2874)</f>
        <v>0</v>
      </c>
      <c r="K1516" s="7">
        <f>SUM(K2874:K2874)</f>
        <v>0</v>
      </c>
      <c r="L1516" s="7">
        <f>SUM(L2874:L2874)</f>
        <v>0</v>
      </c>
      <c r="M1516" s="7">
        <f>M1517</f>
        <v>236000</v>
      </c>
      <c r="N1516" s="6"/>
      <c r="O1516" s="58"/>
      <c r="P1516" s="32"/>
      <c r="Q1516" s="7">
        <f t="shared" ref="Q1516:R1516" si="113">Q1517</f>
        <v>236000</v>
      </c>
      <c r="R1516" s="7">
        <f t="shared" si="113"/>
        <v>90741</v>
      </c>
      <c r="S1516" s="927"/>
      <c r="T1516" s="927"/>
      <c r="U1516" s="927"/>
      <c r="V1516" s="31" t="s">
        <v>517</v>
      </c>
      <c r="X1516" s="16">
        <f>SUM(J1516:L1516)</f>
        <v>0</v>
      </c>
      <c r="Y1516" s="16">
        <f t="shared" si="112"/>
        <v>-236000</v>
      </c>
    </row>
    <row r="1517" spans="1:65" s="39" customFormat="1" ht="45" customHeight="1">
      <c r="B1517" s="553" t="s">
        <v>2774</v>
      </c>
      <c r="C1517" s="108" t="s">
        <v>85</v>
      </c>
      <c r="D1517" s="527">
        <v>40899</v>
      </c>
      <c r="E1517" s="647" t="s">
        <v>4618</v>
      </c>
      <c r="F1517" s="413" t="s">
        <v>4617</v>
      </c>
      <c r="G1517" s="101"/>
      <c r="H1517" s="67"/>
      <c r="I1517" s="67"/>
      <c r="J1517" s="21"/>
      <c r="K1517" s="22">
        <v>236000</v>
      </c>
      <c r="L1517" s="21"/>
      <c r="M1517" s="22">
        <f>SUM(J1517:L1517)</f>
        <v>236000</v>
      </c>
      <c r="N1517" s="21"/>
      <c r="O1517" s="23"/>
      <c r="P1517" s="1137" t="s">
        <v>102</v>
      </c>
      <c r="Q1517" s="216">
        <v>236000</v>
      </c>
      <c r="R1517" s="216">
        <v>90741</v>
      </c>
      <c r="S1517" s="1330" t="s">
        <v>6088</v>
      </c>
      <c r="T1517" s="1330"/>
      <c r="U1517" s="1330"/>
      <c r="V1517" s="22"/>
      <c r="W1517" s="31" t="s">
        <v>84</v>
      </c>
      <c r="X1517" s="16">
        <f>SUM(J1517:L1517)</f>
        <v>236000</v>
      </c>
      <c r="Y1517" s="16">
        <f t="shared" si="112"/>
        <v>0</v>
      </c>
    </row>
    <row r="1518" spans="1:65" s="707" customFormat="1" ht="15">
      <c r="A1518" s="747"/>
      <c r="B1518" s="446"/>
      <c r="C1518" s="649"/>
      <c r="D1518" s="444"/>
      <c r="E1518" s="647"/>
      <c r="F1518" s="42"/>
      <c r="G1518" s="42"/>
      <c r="H1518" s="283"/>
      <c r="I1518" s="283"/>
      <c r="J1518" s="445"/>
      <c r="K1518" s="283"/>
      <c r="L1518" s="283"/>
      <c r="M1518" s="283"/>
      <c r="N1518" s="283"/>
      <c r="O1518" s="193"/>
      <c r="P1518" s="774"/>
      <c r="Q1518" s="351"/>
      <c r="R1518" s="351"/>
      <c r="S1518" s="933"/>
      <c r="T1518" s="933"/>
      <c r="U1518" s="933"/>
      <c r="V1518" s="353"/>
      <c r="W1518" s="353"/>
      <c r="X1518" s="16">
        <f t="shared" si="88"/>
        <v>0</v>
      </c>
      <c r="Y1518" s="16">
        <f t="shared" si="112"/>
        <v>0</v>
      </c>
      <c r="Z1518" s="353"/>
      <c r="AA1518" s="353"/>
      <c r="AB1518" s="353"/>
      <c r="AC1518" s="353"/>
      <c r="AD1518" s="353"/>
      <c r="AE1518" s="353"/>
      <c r="AF1518" s="353"/>
      <c r="AG1518" s="353"/>
      <c r="AH1518" s="353"/>
      <c r="AI1518" s="353"/>
      <c r="AJ1518" s="353"/>
      <c r="AK1518" s="353"/>
      <c r="AL1518" s="353"/>
      <c r="AM1518" s="353"/>
      <c r="AN1518" s="353"/>
      <c r="AO1518" s="353"/>
      <c r="AP1518" s="353"/>
      <c r="AQ1518" s="353"/>
      <c r="AR1518" s="353"/>
      <c r="AS1518" s="353"/>
      <c r="AT1518" s="353"/>
      <c r="AU1518" s="353"/>
      <c r="AV1518" s="353"/>
      <c r="AW1518" s="353"/>
      <c r="AX1518" s="353"/>
      <c r="AY1518" s="353"/>
      <c r="AZ1518" s="353"/>
      <c r="BA1518" s="353"/>
      <c r="BB1518" s="353"/>
      <c r="BC1518" s="353"/>
      <c r="BD1518" s="353"/>
      <c r="BE1518" s="353"/>
      <c r="BF1518" s="353"/>
      <c r="BG1518" s="353"/>
      <c r="BH1518" s="353"/>
      <c r="BI1518" s="353"/>
      <c r="BJ1518" s="353"/>
      <c r="BK1518" s="353"/>
      <c r="BL1518" s="353"/>
      <c r="BM1518" s="353"/>
    </row>
    <row r="1519" spans="1:65" s="39" customFormat="1" ht="15.95" customHeight="1">
      <c r="A1519" s="1139" t="s">
        <v>4613</v>
      </c>
      <c r="B1519" s="447" t="s">
        <v>6002</v>
      </c>
      <c r="C1519" s="748"/>
      <c r="D1519" s="448"/>
      <c r="E1519" s="647"/>
      <c r="F1519" s="353"/>
      <c r="G1519" s="353"/>
      <c r="H1519" s="286"/>
      <c r="I1519" s="449">
        <v>6500000</v>
      </c>
      <c r="J1519" s="450" t="e">
        <f>J1520+J1546+J1556+J1566+J1575+J1578+J1682+J1685+J1689+J1705+J1712+J1883+J1887+J1917+J1943+J2803</f>
        <v>#REF!</v>
      </c>
      <c r="K1519" s="450" t="e">
        <f>K1520+K1546+K1556+K1566+K1575+K1578+K1682+K1685+K1689+K1705+K1712+K1883+K1887+K1917+K1943+K2803</f>
        <v>#REF!</v>
      </c>
      <c r="L1519" s="450" t="e">
        <f>L1520+L1546+L1556+L1566+L1575+L1578+L1682+L1685+L1689+L1705+L1712+L1883+L1887+L1917+L1943+L2803</f>
        <v>#REF!</v>
      </c>
      <c r="M1519" s="450">
        <f>M1520+M1546+M1556+M1566+M1575+M1578+M1682+M1685+M1689+M1705+M1712+M1883+M1887+M1917+M1943+M2803+M2106</f>
        <v>6490794.4409999996</v>
      </c>
      <c r="N1519" s="451" t="e">
        <f>N1712+#REF!</f>
        <v>#REF!</v>
      </c>
      <c r="O1519" s="193"/>
      <c r="P1519" s="165"/>
      <c r="Q1519" s="450">
        <f>Q1520+Q1546+Q1556+Q1566+Q1575+Q1578+Q1682+Q1685+Q1689+Q1705+Q1712+Q1883+Q1887+Q1917+Q1943+Q2803+Q2106</f>
        <v>3518539.69</v>
      </c>
      <c r="R1519" s="450">
        <f>R1520+R1546+R1556+R1566+R1575+R1578+R1682+R1685+R1689+R1705+R1712+R1883+R1887+R1917+R1943+R2803+R2106</f>
        <v>3390690.6430000002</v>
      </c>
      <c r="S1519" s="877"/>
      <c r="T1519" s="877"/>
      <c r="U1519" s="877"/>
      <c r="V1519" s="22"/>
      <c r="X1519" s="16" t="e">
        <f t="shared" si="88"/>
        <v>#REF!</v>
      </c>
      <c r="Y1519" s="16" t="e">
        <f t="shared" si="112"/>
        <v>#REF!</v>
      </c>
    </row>
    <row r="1520" spans="1:65" s="231" customFormat="1" ht="15">
      <c r="A1520" s="237"/>
      <c r="B1520" s="853" t="s">
        <v>1101</v>
      </c>
      <c r="C1520" s="1140"/>
      <c r="D1520" s="5"/>
      <c r="E1520" s="1126"/>
      <c r="F1520" s="393"/>
      <c r="G1520" s="187"/>
      <c r="H1520" s="187"/>
      <c r="J1520" s="7">
        <f>SUM(J1521:J1542)</f>
        <v>0</v>
      </c>
      <c r="K1520" s="7">
        <f>SUM(K1521:K1544)</f>
        <v>0</v>
      </c>
      <c r="L1520" s="7">
        <f t="shared" ref="L1520:M1520" si="114">SUM(L1521:L1544)</f>
        <v>0</v>
      </c>
      <c r="M1520" s="7">
        <f t="shared" si="114"/>
        <v>0</v>
      </c>
      <c r="N1520" s="6"/>
      <c r="O1520" s="1136"/>
      <c r="P1520" s="235"/>
      <c r="Q1520" s="7">
        <f t="shared" ref="Q1520:R1520" si="115">SUM(Q1521:Q1544)</f>
        <v>0</v>
      </c>
      <c r="R1520" s="7">
        <f t="shared" si="115"/>
        <v>0</v>
      </c>
      <c r="S1520" s="876"/>
      <c r="T1520" s="876"/>
      <c r="U1520" s="876"/>
      <c r="V1520" s="235"/>
      <c r="X1520" s="16">
        <f t="shared" ref="X1520:X1554" si="116">SUM(J1520:L1520)</f>
        <v>0</v>
      </c>
      <c r="Y1520" s="16">
        <f t="shared" si="112"/>
        <v>0</v>
      </c>
    </row>
    <row r="1521" spans="1:25" s="231" customFormat="1" ht="21" customHeight="1">
      <c r="A1521" s="237"/>
      <c r="B1521" s="551" t="s">
        <v>1102</v>
      </c>
      <c r="C1521" s="1126"/>
      <c r="D1521" s="361"/>
      <c r="E1521" s="1126"/>
      <c r="F1521" s="212"/>
      <c r="G1521" s="347"/>
      <c r="H1521" s="10"/>
      <c r="I1521" s="10"/>
      <c r="J1521" s="14"/>
      <c r="K1521" s="14"/>
      <c r="L1521" s="14"/>
      <c r="M1521" s="14"/>
      <c r="N1521" s="10"/>
      <c r="O1521" s="1136"/>
      <c r="Q1521" s="93"/>
      <c r="R1521" s="93"/>
      <c r="S1521" s="876"/>
      <c r="T1521" s="876"/>
      <c r="U1521" s="876"/>
      <c r="V1521" s="235"/>
      <c r="X1521" s="16">
        <f t="shared" si="116"/>
        <v>0</v>
      </c>
      <c r="Y1521" s="16">
        <f t="shared" si="112"/>
        <v>0</v>
      </c>
    </row>
    <row r="1522" spans="1:25" s="231" customFormat="1" ht="94.5" customHeight="1">
      <c r="A1522" s="237"/>
      <c r="B1522" s="1131" t="s">
        <v>1104</v>
      </c>
      <c r="C1522" s="1126" t="s">
        <v>1106</v>
      </c>
      <c r="D1522" s="361">
        <v>40883</v>
      </c>
      <c r="E1522" s="779" t="s">
        <v>5163</v>
      </c>
      <c r="F1522" s="212" t="s">
        <v>5162</v>
      </c>
      <c r="G1522" s="212" t="s">
        <v>1105</v>
      </c>
      <c r="H1522" s="10"/>
      <c r="I1522" s="10"/>
      <c r="J1522" s="14"/>
      <c r="K1522" s="14">
        <v>100000</v>
      </c>
      <c r="L1522" s="14"/>
      <c r="M1522" s="14">
        <f>SUM(J1522:L1522)</f>
        <v>100000</v>
      </c>
      <c r="N1522" s="10"/>
      <c r="O1522" s="386"/>
      <c r="P1522" s="1137" t="s">
        <v>102</v>
      </c>
      <c r="Q1522" s="351"/>
      <c r="R1522" s="351"/>
      <c r="S1522" s="934"/>
      <c r="T1522" s="934"/>
      <c r="U1522" s="934"/>
      <c r="V1522" s="235"/>
      <c r="W1522" s="12" t="s">
        <v>1103</v>
      </c>
      <c r="X1522" s="16">
        <f t="shared" si="116"/>
        <v>100000</v>
      </c>
      <c r="Y1522" s="16">
        <f t="shared" si="112"/>
        <v>0</v>
      </c>
    </row>
    <row r="1523" spans="1:25" s="231" customFormat="1" ht="15">
      <c r="A1523" s="237"/>
      <c r="B1523" s="854"/>
      <c r="C1523" s="235"/>
      <c r="D1523" s="459"/>
      <c r="E1523" s="1126"/>
      <c r="F1523" s="212"/>
      <c r="G1523" s="360"/>
      <c r="H1523" s="458"/>
      <c r="I1523" s="458"/>
      <c r="L1523" s="14"/>
      <c r="M1523" s="14"/>
      <c r="N1523" s="458"/>
      <c r="O1523" s="1136"/>
      <c r="P1523" s="235"/>
      <c r="Q1523" s="93"/>
      <c r="R1523" s="93"/>
      <c r="S1523" s="876"/>
      <c r="T1523" s="876"/>
      <c r="U1523" s="876"/>
      <c r="V1523" s="235"/>
      <c r="X1523" s="16">
        <f t="shared" si="116"/>
        <v>0</v>
      </c>
      <c r="Y1523" s="16">
        <f t="shared" si="112"/>
        <v>0</v>
      </c>
    </row>
    <row r="1524" spans="1:25" s="231" customFormat="1" ht="15">
      <c r="A1524" s="237"/>
      <c r="B1524" s="854" t="s">
        <v>1107</v>
      </c>
      <c r="C1524" s="1126" t="s">
        <v>1108</v>
      </c>
      <c r="D1524" s="361">
        <v>40983</v>
      </c>
      <c r="E1524" s="1126"/>
      <c r="F1524" s="212"/>
      <c r="G1524" s="360"/>
      <c r="H1524" s="10"/>
      <c r="I1524" s="10"/>
      <c r="J1524" s="14"/>
      <c r="K1524" s="14">
        <v>-100000</v>
      </c>
      <c r="L1524" s="14"/>
      <c r="M1524" s="14">
        <f>SUM(J1524:L1524)</f>
        <v>-100000</v>
      </c>
      <c r="N1524" s="10"/>
      <c r="O1524" s="1136"/>
      <c r="P1524" s="1137" t="s">
        <v>102</v>
      </c>
      <c r="Q1524" s="93"/>
      <c r="R1524" s="93"/>
      <c r="S1524" s="876"/>
      <c r="T1524" s="876"/>
      <c r="U1524" s="876"/>
      <c r="V1524" s="235"/>
      <c r="W1524" s="12" t="s">
        <v>1103</v>
      </c>
      <c r="X1524" s="16">
        <f t="shared" si="116"/>
        <v>-100000</v>
      </c>
      <c r="Y1524" s="16">
        <f t="shared" si="112"/>
        <v>0</v>
      </c>
    </row>
    <row r="1525" spans="1:25" s="231" customFormat="1" ht="15">
      <c r="A1525" s="237"/>
      <c r="B1525" s="458"/>
      <c r="C1525" s="1126"/>
      <c r="D1525" s="361"/>
      <c r="E1525" s="1126"/>
      <c r="F1525" s="212"/>
      <c r="G1525" s="360"/>
      <c r="H1525" s="10"/>
      <c r="I1525" s="10"/>
      <c r="J1525" s="14"/>
      <c r="K1525" s="14"/>
      <c r="L1525" s="14"/>
      <c r="M1525" s="14"/>
      <c r="N1525" s="10"/>
      <c r="O1525" s="1136"/>
      <c r="Q1525" s="93"/>
      <c r="R1525" s="93"/>
      <c r="S1525" s="876"/>
      <c r="T1525" s="876"/>
      <c r="U1525" s="876"/>
      <c r="V1525" s="235"/>
      <c r="X1525" s="16">
        <f t="shared" si="116"/>
        <v>0</v>
      </c>
      <c r="Y1525" s="16">
        <f t="shared" si="112"/>
        <v>0</v>
      </c>
    </row>
    <row r="1526" spans="1:25" s="231" customFormat="1" ht="91.5" customHeight="1">
      <c r="A1526" s="237"/>
      <c r="B1526" s="1131" t="s">
        <v>1109</v>
      </c>
      <c r="C1526" s="1126" t="s">
        <v>1110</v>
      </c>
      <c r="D1526" s="361">
        <v>40883</v>
      </c>
      <c r="E1526" s="779" t="s">
        <v>5163</v>
      </c>
      <c r="F1526" s="212" t="s">
        <v>5162</v>
      </c>
      <c r="G1526" s="212" t="s">
        <v>1105</v>
      </c>
      <c r="H1526" s="10"/>
      <c r="I1526" s="10"/>
      <c r="J1526" s="14"/>
      <c r="K1526" s="14">
        <v>100000</v>
      </c>
      <c r="L1526" s="14"/>
      <c r="M1526" s="14">
        <f>SUM(J1526:L1526)</f>
        <v>100000</v>
      </c>
      <c r="N1526" s="10"/>
      <c r="O1526" s="386"/>
      <c r="P1526" s="1137" t="s">
        <v>102</v>
      </c>
      <c r="Q1526" s="351"/>
      <c r="R1526" s="351"/>
      <c r="S1526" s="934"/>
      <c r="T1526" s="934"/>
      <c r="U1526" s="934"/>
      <c r="V1526" s="235"/>
      <c r="W1526" s="12" t="s">
        <v>1103</v>
      </c>
      <c r="X1526" s="16">
        <f t="shared" si="116"/>
        <v>100000</v>
      </c>
      <c r="Y1526" s="16">
        <f t="shared" si="112"/>
        <v>0</v>
      </c>
    </row>
    <row r="1527" spans="1:25" s="231" customFormat="1" ht="15">
      <c r="A1527" s="237"/>
      <c r="B1527" s="854"/>
      <c r="C1527" s="235"/>
      <c r="D1527" s="459"/>
      <c r="E1527" s="1126"/>
      <c r="F1527" s="212"/>
      <c r="G1527" s="360"/>
      <c r="H1527" s="458"/>
      <c r="I1527" s="458"/>
      <c r="L1527" s="14"/>
      <c r="M1527" s="14"/>
      <c r="N1527" s="458"/>
      <c r="O1527" s="1136"/>
      <c r="Q1527" s="93"/>
      <c r="R1527" s="93"/>
      <c r="S1527" s="876"/>
      <c r="T1527" s="876"/>
      <c r="U1527" s="876"/>
      <c r="V1527" s="235"/>
      <c r="X1527" s="16">
        <f t="shared" si="116"/>
        <v>0</v>
      </c>
      <c r="Y1527" s="16">
        <f t="shared" si="112"/>
        <v>0</v>
      </c>
    </row>
    <row r="1528" spans="1:25" s="231" customFormat="1" ht="15">
      <c r="A1528" s="237"/>
      <c r="B1528" s="854" t="s">
        <v>1107</v>
      </c>
      <c r="C1528" s="1126" t="s">
        <v>1111</v>
      </c>
      <c r="D1528" s="361">
        <v>40983</v>
      </c>
      <c r="E1528" s="1126"/>
      <c r="F1528" s="212"/>
      <c r="G1528" s="360"/>
      <c r="H1528" s="10"/>
      <c r="I1528" s="10"/>
      <c r="J1528" s="14"/>
      <c r="K1528" s="14">
        <v>-100000</v>
      </c>
      <c r="L1528" s="14"/>
      <c r="M1528" s="14">
        <f>SUM(J1528:L1528)</f>
        <v>-100000</v>
      </c>
      <c r="N1528" s="10"/>
      <c r="O1528" s="1136"/>
      <c r="P1528" s="1137" t="s">
        <v>102</v>
      </c>
      <c r="Q1528" s="93"/>
      <c r="R1528" s="93"/>
      <c r="S1528" s="876"/>
      <c r="T1528" s="876"/>
      <c r="U1528" s="876"/>
      <c r="V1528" s="235"/>
      <c r="W1528" s="12" t="s">
        <v>1103</v>
      </c>
      <c r="X1528" s="16">
        <f t="shared" si="116"/>
        <v>-100000</v>
      </c>
      <c r="Y1528" s="16">
        <f t="shared" si="112"/>
        <v>0</v>
      </c>
    </row>
    <row r="1529" spans="1:25" s="231" customFormat="1" ht="15">
      <c r="A1529" s="237"/>
      <c r="B1529" s="358"/>
      <c r="C1529" s="1126"/>
      <c r="D1529" s="361"/>
      <c r="E1529" s="1126"/>
      <c r="F1529" s="212"/>
      <c r="G1529" s="360"/>
      <c r="H1529" s="10"/>
      <c r="I1529" s="10"/>
      <c r="J1529" s="14"/>
      <c r="K1529" s="14"/>
      <c r="L1529" s="14"/>
      <c r="M1529" s="14"/>
      <c r="N1529" s="10"/>
      <c r="O1529" s="1136"/>
      <c r="Q1529" s="93"/>
      <c r="R1529" s="93"/>
      <c r="S1529" s="876"/>
      <c r="T1529" s="876"/>
      <c r="U1529" s="876"/>
      <c r="V1529" s="235"/>
      <c r="X1529" s="16">
        <f t="shared" si="116"/>
        <v>0</v>
      </c>
      <c r="Y1529" s="16">
        <f t="shared" si="112"/>
        <v>0</v>
      </c>
    </row>
    <row r="1530" spans="1:25" s="231" customFormat="1" ht="87.75" customHeight="1">
      <c r="A1530" s="237"/>
      <c r="B1530" s="1131" t="s">
        <v>1112</v>
      </c>
      <c r="C1530" s="1126" t="s">
        <v>1113</v>
      </c>
      <c r="D1530" s="361">
        <v>40883</v>
      </c>
      <c r="E1530" s="779" t="s">
        <v>5163</v>
      </c>
      <c r="F1530" s="212" t="s">
        <v>5162</v>
      </c>
      <c r="G1530" s="212" t="s">
        <v>1105</v>
      </c>
      <c r="H1530" s="10"/>
      <c r="I1530" s="10"/>
      <c r="J1530" s="14"/>
      <c r="K1530" s="14">
        <v>100000</v>
      </c>
      <c r="L1530" s="14"/>
      <c r="M1530" s="14">
        <f>SUM(J1530:L1530)</f>
        <v>100000</v>
      </c>
      <c r="N1530" s="10"/>
      <c r="O1530" s="386"/>
      <c r="P1530" s="1138" t="s">
        <v>102</v>
      </c>
      <c r="Q1530" s="351"/>
      <c r="R1530" s="351"/>
      <c r="S1530" s="934"/>
      <c r="T1530" s="934"/>
      <c r="U1530" s="934"/>
      <c r="V1530" s="235"/>
      <c r="W1530" s="12" t="s">
        <v>1103</v>
      </c>
      <c r="X1530" s="16">
        <f t="shared" si="116"/>
        <v>100000</v>
      </c>
      <c r="Y1530" s="16">
        <f t="shared" si="112"/>
        <v>0</v>
      </c>
    </row>
    <row r="1531" spans="1:25" s="231" customFormat="1" ht="15">
      <c r="A1531" s="237"/>
      <c r="B1531" s="358" t="s">
        <v>1114</v>
      </c>
      <c r="C1531" s="235"/>
      <c r="D1531" s="459"/>
      <c r="E1531" s="1126"/>
      <c r="F1531" s="212"/>
      <c r="G1531" s="360"/>
      <c r="H1531" s="458"/>
      <c r="I1531" s="458"/>
      <c r="L1531" s="14"/>
      <c r="M1531" s="14"/>
      <c r="N1531" s="458"/>
      <c r="O1531" s="1136"/>
      <c r="Q1531" s="93"/>
      <c r="R1531" s="93"/>
      <c r="S1531" s="876"/>
      <c r="T1531" s="876"/>
      <c r="U1531" s="876"/>
      <c r="V1531" s="235"/>
      <c r="X1531" s="16">
        <f t="shared" si="116"/>
        <v>0</v>
      </c>
      <c r="Y1531" s="16">
        <f t="shared" si="112"/>
        <v>0</v>
      </c>
    </row>
    <row r="1532" spans="1:25" s="231" customFormat="1" ht="15">
      <c r="A1532" s="237"/>
      <c r="B1532" s="854" t="s">
        <v>1107</v>
      </c>
      <c r="C1532" s="1126" t="s">
        <v>1115</v>
      </c>
      <c r="D1532" s="361">
        <v>40983</v>
      </c>
      <c r="E1532" s="1126"/>
      <c r="F1532" s="212"/>
      <c r="G1532" s="360"/>
      <c r="H1532" s="10"/>
      <c r="I1532" s="10"/>
      <c r="J1532" s="14"/>
      <c r="K1532" s="14">
        <v>-100000</v>
      </c>
      <c r="L1532" s="14"/>
      <c r="M1532" s="14">
        <f>SUM(J1532:L1532)</f>
        <v>-100000</v>
      </c>
      <c r="N1532" s="10"/>
      <c r="O1532" s="1136"/>
      <c r="P1532" s="1137" t="s">
        <v>102</v>
      </c>
      <c r="Q1532" s="93"/>
      <c r="R1532" s="93"/>
      <c r="S1532" s="876"/>
      <c r="T1532" s="876"/>
      <c r="U1532" s="876"/>
      <c r="V1532" s="235"/>
      <c r="W1532" s="12" t="s">
        <v>1103</v>
      </c>
      <c r="X1532" s="16">
        <f t="shared" si="116"/>
        <v>-100000</v>
      </c>
      <c r="Y1532" s="16">
        <f t="shared" si="112"/>
        <v>0</v>
      </c>
    </row>
    <row r="1533" spans="1:25" s="231" customFormat="1" ht="15">
      <c r="A1533" s="237"/>
      <c r="B1533" s="358"/>
      <c r="C1533" s="1126"/>
      <c r="D1533" s="361"/>
      <c r="E1533" s="1126"/>
      <c r="F1533" s="212"/>
      <c r="G1533" s="360"/>
      <c r="H1533" s="10"/>
      <c r="I1533" s="10"/>
      <c r="J1533" s="14"/>
      <c r="K1533" s="14"/>
      <c r="L1533" s="14"/>
      <c r="M1533" s="14"/>
      <c r="N1533" s="10"/>
      <c r="O1533" s="1136"/>
      <c r="P1533" s="235"/>
      <c r="Q1533" s="93"/>
      <c r="R1533" s="93"/>
      <c r="S1533" s="876"/>
      <c r="T1533" s="876"/>
      <c r="U1533" s="876"/>
      <c r="V1533" s="235"/>
      <c r="X1533" s="16">
        <f t="shared" si="116"/>
        <v>0</v>
      </c>
      <c r="Y1533" s="16">
        <f t="shared" si="112"/>
        <v>0</v>
      </c>
    </row>
    <row r="1534" spans="1:25" s="231" customFormat="1" ht="87.75" customHeight="1">
      <c r="A1534" s="237"/>
      <c r="B1534" s="1131" t="s">
        <v>1116</v>
      </c>
      <c r="C1534" s="1126" t="s">
        <v>1117</v>
      </c>
      <c r="D1534" s="361">
        <v>40883</v>
      </c>
      <c r="E1534" s="779" t="s">
        <v>5163</v>
      </c>
      <c r="F1534" s="212" t="s">
        <v>5162</v>
      </c>
      <c r="G1534" s="212" t="s">
        <v>1105</v>
      </c>
      <c r="H1534" s="10"/>
      <c r="I1534" s="10"/>
      <c r="J1534" s="14"/>
      <c r="K1534" s="14">
        <v>70000</v>
      </c>
      <c r="L1534" s="14"/>
      <c r="M1534" s="14">
        <f>SUM(J1534:L1534)</f>
        <v>70000</v>
      </c>
      <c r="N1534" s="10"/>
      <c r="O1534" s="1136"/>
      <c r="P1534" s="1137" t="s">
        <v>102</v>
      </c>
      <c r="Q1534" s="93"/>
      <c r="R1534" s="93"/>
      <c r="S1534" s="876"/>
      <c r="T1534" s="876"/>
      <c r="U1534" s="876"/>
      <c r="V1534" s="235"/>
      <c r="W1534" s="12" t="s">
        <v>1103</v>
      </c>
      <c r="X1534" s="16">
        <f t="shared" si="116"/>
        <v>70000</v>
      </c>
      <c r="Y1534" s="16">
        <f t="shared" si="112"/>
        <v>0</v>
      </c>
    </row>
    <row r="1535" spans="1:25" s="231" customFormat="1" ht="15">
      <c r="A1535" s="237"/>
      <c r="B1535" s="1131"/>
      <c r="C1535" s="1126"/>
      <c r="D1535" s="361"/>
      <c r="E1535" s="779"/>
      <c r="F1535" s="212"/>
      <c r="G1535" s="212"/>
      <c r="H1535" s="10"/>
      <c r="I1535" s="10"/>
      <c r="J1535" s="14"/>
      <c r="K1535" s="14"/>
      <c r="L1535" s="14"/>
      <c r="M1535" s="14"/>
      <c r="N1535" s="10"/>
      <c r="O1535" s="1136"/>
      <c r="P1535" s="235"/>
      <c r="Q1535" s="93"/>
      <c r="R1535" s="93"/>
      <c r="S1535" s="876"/>
      <c r="T1535" s="876"/>
      <c r="U1535" s="876"/>
      <c r="V1535" s="235"/>
      <c r="X1535" s="16"/>
      <c r="Y1535" s="16"/>
    </row>
    <row r="1536" spans="1:25" s="231" customFormat="1" ht="15">
      <c r="A1536" s="237"/>
      <c r="B1536" s="854" t="s">
        <v>1107</v>
      </c>
      <c r="C1536" s="1126" t="s">
        <v>4527</v>
      </c>
      <c r="D1536" s="361">
        <v>40983</v>
      </c>
      <c r="E1536" s="779"/>
      <c r="F1536" s="212"/>
      <c r="G1536" s="212"/>
      <c r="H1536" s="10"/>
      <c r="I1536" s="10"/>
      <c r="J1536" s="14"/>
      <c r="K1536" s="14">
        <v>-70000</v>
      </c>
      <c r="L1536" s="14"/>
      <c r="M1536" s="14">
        <f>SUM(J1536:L1536)</f>
        <v>-70000</v>
      </c>
      <c r="N1536" s="10"/>
      <c r="O1536" s="1136"/>
      <c r="P1536" s="235" t="s">
        <v>102</v>
      </c>
      <c r="Q1536" s="93"/>
      <c r="R1536" s="93"/>
      <c r="S1536" s="876"/>
      <c r="T1536" s="876"/>
      <c r="U1536" s="876"/>
      <c r="V1536" s="235"/>
      <c r="X1536" s="16"/>
      <c r="Y1536" s="16"/>
    </row>
    <row r="1537" spans="1:25" s="231" customFormat="1" ht="15">
      <c r="A1537" s="237"/>
      <c r="B1537" s="358"/>
      <c r="C1537" s="1126"/>
      <c r="D1537" s="361"/>
      <c r="E1537" s="1126"/>
      <c r="F1537" s="212"/>
      <c r="G1537" s="360"/>
      <c r="H1537" s="10"/>
      <c r="I1537" s="10"/>
      <c r="J1537" s="14"/>
      <c r="K1537" s="14"/>
      <c r="L1537" s="14"/>
      <c r="M1537" s="14"/>
      <c r="N1537" s="10"/>
      <c r="O1537" s="1136"/>
      <c r="P1537" s="1137"/>
      <c r="Q1537" s="93"/>
      <c r="R1537" s="93"/>
      <c r="S1537" s="876"/>
      <c r="T1537" s="876"/>
      <c r="U1537" s="876"/>
      <c r="V1537" s="235"/>
      <c r="X1537" s="16">
        <f t="shared" si="116"/>
        <v>0</v>
      </c>
      <c r="Y1537" s="16">
        <f>X1537-M1537</f>
        <v>0</v>
      </c>
    </row>
    <row r="1538" spans="1:25" s="231" customFormat="1" ht="90" customHeight="1">
      <c r="A1538" s="237"/>
      <c r="B1538" s="1131" t="s">
        <v>1118</v>
      </c>
      <c r="C1538" s="1126" t="s">
        <v>1119</v>
      </c>
      <c r="D1538" s="361">
        <v>40883</v>
      </c>
      <c r="E1538" s="779" t="s">
        <v>5163</v>
      </c>
      <c r="F1538" s="212" t="s">
        <v>5162</v>
      </c>
      <c r="G1538" s="212" t="s">
        <v>1105</v>
      </c>
      <c r="H1538" s="10"/>
      <c r="I1538" s="10"/>
      <c r="J1538" s="14"/>
      <c r="K1538" s="14">
        <v>55000</v>
      </c>
      <c r="L1538" s="14"/>
      <c r="M1538" s="14">
        <f>SUM(J1538:L1538)</f>
        <v>55000</v>
      </c>
      <c r="N1538" s="10"/>
      <c r="O1538" s="1136"/>
      <c r="P1538" s="1137" t="s">
        <v>102</v>
      </c>
      <c r="Q1538" s="93"/>
      <c r="R1538" s="93"/>
      <c r="S1538" s="876"/>
      <c r="T1538" s="876"/>
      <c r="U1538" s="876"/>
      <c r="V1538" s="235"/>
      <c r="W1538" s="12" t="s">
        <v>1103</v>
      </c>
      <c r="X1538" s="16">
        <f t="shared" si="116"/>
        <v>55000</v>
      </c>
      <c r="Y1538" s="16">
        <f>X1538-M1538</f>
        <v>0</v>
      </c>
    </row>
    <row r="1539" spans="1:25" s="231" customFormat="1" ht="15">
      <c r="A1539" s="237"/>
      <c r="B1539" s="1131"/>
      <c r="C1539" s="1126"/>
      <c r="D1539" s="361"/>
      <c r="E1539" s="779"/>
      <c r="F1539" s="212"/>
      <c r="G1539" s="212"/>
      <c r="H1539" s="10"/>
      <c r="I1539" s="10"/>
      <c r="J1539" s="14"/>
      <c r="K1539" s="14"/>
      <c r="L1539" s="14"/>
      <c r="M1539" s="14"/>
      <c r="N1539" s="10"/>
      <c r="O1539" s="1136"/>
      <c r="P1539" s="1137"/>
      <c r="Q1539" s="93"/>
      <c r="R1539" s="93"/>
      <c r="S1539" s="876"/>
      <c r="T1539" s="876"/>
      <c r="U1539" s="876"/>
      <c r="V1539" s="235"/>
      <c r="X1539" s="16"/>
      <c r="Y1539" s="16"/>
    </row>
    <row r="1540" spans="1:25" s="231" customFormat="1" ht="15">
      <c r="A1540" s="237"/>
      <c r="B1540" s="854" t="s">
        <v>1107</v>
      </c>
      <c r="C1540" s="1126" t="s">
        <v>4528</v>
      </c>
      <c r="D1540" s="361">
        <v>41029</v>
      </c>
      <c r="E1540" s="779"/>
      <c r="F1540" s="212"/>
      <c r="G1540" s="212"/>
      <c r="H1540" s="10"/>
      <c r="I1540" s="10"/>
      <c r="J1540" s="14"/>
      <c r="K1540" s="14">
        <v>-55000</v>
      </c>
      <c r="L1540" s="14"/>
      <c r="M1540" s="14">
        <f>SUM(J1540:L1540)</f>
        <v>-55000</v>
      </c>
      <c r="N1540" s="10"/>
      <c r="O1540" s="1136"/>
      <c r="P1540" s="235" t="s">
        <v>102</v>
      </c>
      <c r="Q1540" s="93"/>
      <c r="R1540" s="93"/>
      <c r="S1540" s="876"/>
      <c r="T1540" s="876"/>
      <c r="U1540" s="876"/>
      <c r="V1540" s="235"/>
      <c r="X1540" s="16"/>
      <c r="Y1540" s="16"/>
    </row>
    <row r="1541" spans="1:25" s="231" customFormat="1" ht="15">
      <c r="A1541" s="237"/>
      <c r="B1541" s="358"/>
      <c r="C1541" s="1126"/>
      <c r="D1541" s="361"/>
      <c r="E1541" s="1126"/>
      <c r="F1541" s="212"/>
      <c r="G1541" s="360"/>
      <c r="H1541" s="10"/>
      <c r="I1541" s="10"/>
      <c r="J1541" s="14"/>
      <c r="K1541" s="14"/>
      <c r="L1541" s="14"/>
      <c r="M1541" s="14"/>
      <c r="N1541" s="10"/>
      <c r="O1541" s="1136"/>
      <c r="P1541" s="1137"/>
      <c r="Q1541" s="93"/>
      <c r="R1541" s="93"/>
      <c r="S1541" s="876"/>
      <c r="T1541" s="876"/>
      <c r="U1541" s="876"/>
      <c r="V1541" s="235"/>
      <c r="X1541" s="16">
        <f t="shared" si="116"/>
        <v>0</v>
      </c>
      <c r="Y1541" s="16">
        <f>X1541-M1541</f>
        <v>0</v>
      </c>
    </row>
    <row r="1542" spans="1:25" s="231" customFormat="1" ht="87.75" customHeight="1">
      <c r="A1542" s="237"/>
      <c r="B1542" s="1131" t="s">
        <v>1120</v>
      </c>
      <c r="C1542" s="1126" t="s">
        <v>1121</v>
      </c>
      <c r="D1542" s="361">
        <v>40883</v>
      </c>
      <c r="E1542" s="779" t="s">
        <v>5163</v>
      </c>
      <c r="F1542" s="212" t="s">
        <v>5162</v>
      </c>
      <c r="G1542" s="212" t="s">
        <v>1105</v>
      </c>
      <c r="H1542" s="10"/>
      <c r="I1542" s="10"/>
      <c r="J1542" s="10"/>
      <c r="K1542" s="10">
        <v>50000</v>
      </c>
      <c r="L1542" s="10"/>
      <c r="M1542" s="10">
        <f>SUM(J1542:L1542)</f>
        <v>50000</v>
      </c>
      <c r="N1542" s="10"/>
      <c r="O1542" s="1136"/>
      <c r="P1542" s="1137" t="s">
        <v>102</v>
      </c>
      <c r="Q1542" s="93"/>
      <c r="R1542" s="93"/>
      <c r="S1542" s="876"/>
      <c r="T1542" s="876"/>
      <c r="U1542" s="876"/>
      <c r="V1542" s="235"/>
      <c r="W1542" s="12" t="s">
        <v>1103</v>
      </c>
      <c r="X1542" s="16">
        <f t="shared" si="116"/>
        <v>50000</v>
      </c>
      <c r="Y1542" s="16">
        <f>X1542-M1542</f>
        <v>0</v>
      </c>
    </row>
    <row r="1543" spans="1:25" s="231" customFormat="1" ht="15">
      <c r="A1543" s="237"/>
      <c r="B1543" s="1131"/>
      <c r="C1543" s="1126"/>
      <c r="D1543" s="361"/>
      <c r="E1543" s="779"/>
      <c r="F1543" s="212"/>
      <c r="G1543" s="212"/>
      <c r="H1543" s="10"/>
      <c r="I1543" s="10"/>
      <c r="J1543" s="10"/>
      <c r="K1543" s="10"/>
      <c r="L1543" s="10"/>
      <c r="M1543" s="10"/>
      <c r="N1543" s="10"/>
      <c r="O1543" s="1136"/>
      <c r="P1543" s="1137"/>
      <c r="Q1543" s="93"/>
      <c r="R1543" s="93"/>
      <c r="S1543" s="876"/>
      <c r="T1543" s="876"/>
      <c r="U1543" s="876"/>
      <c r="V1543" s="235"/>
      <c r="W1543" s="12"/>
      <c r="X1543" s="16"/>
      <c r="Y1543" s="16"/>
    </row>
    <row r="1544" spans="1:25" s="231" customFormat="1" ht="15">
      <c r="A1544" s="237"/>
      <c r="B1544" s="854" t="s">
        <v>1107</v>
      </c>
      <c r="C1544" s="1126" t="s">
        <v>4529</v>
      </c>
      <c r="D1544" s="361">
        <v>41085</v>
      </c>
      <c r="E1544" s="779"/>
      <c r="F1544" s="212"/>
      <c r="G1544" s="212"/>
      <c r="H1544" s="10"/>
      <c r="I1544" s="10"/>
      <c r="J1544" s="14"/>
      <c r="K1544" s="14">
        <v>-50000</v>
      </c>
      <c r="L1544" s="14"/>
      <c r="M1544" s="14">
        <f>SUM(J1544:L1544)</f>
        <v>-50000</v>
      </c>
      <c r="N1544" s="10"/>
      <c r="O1544" s="1136"/>
      <c r="P1544" s="235" t="s">
        <v>102</v>
      </c>
      <c r="Q1544" s="93"/>
      <c r="R1544" s="93"/>
      <c r="S1544" s="876"/>
      <c r="T1544" s="876"/>
      <c r="U1544" s="876"/>
      <c r="V1544" s="235"/>
      <c r="X1544" s="16"/>
      <c r="Y1544" s="16"/>
    </row>
    <row r="1545" spans="1:25" s="231" customFormat="1" ht="15">
      <c r="A1545" s="237"/>
      <c r="B1545" s="1131"/>
      <c r="C1545" s="1126"/>
      <c r="D1545" s="361"/>
      <c r="E1545" s="779"/>
      <c r="F1545" s="212"/>
      <c r="G1545" s="212"/>
      <c r="H1545" s="10"/>
      <c r="I1545" s="10"/>
      <c r="J1545" s="10"/>
      <c r="K1545" s="10"/>
      <c r="L1545" s="10"/>
      <c r="M1545" s="10"/>
      <c r="N1545" s="10"/>
      <c r="O1545" s="1136"/>
      <c r="P1545" s="1138"/>
      <c r="Q1545" s="93"/>
      <c r="R1545" s="93"/>
      <c r="S1545" s="876"/>
      <c r="T1545" s="876"/>
      <c r="U1545" s="876"/>
      <c r="V1545" s="235"/>
      <c r="W1545" s="12"/>
      <c r="X1545" s="16">
        <f t="shared" si="116"/>
        <v>0</v>
      </c>
      <c r="Y1545" s="16">
        <f t="shared" ref="Y1545:Y1576" si="117">X1545-M1545</f>
        <v>0</v>
      </c>
    </row>
    <row r="1546" spans="1:25" s="739" customFormat="1" ht="15.95" customHeight="1">
      <c r="B1546" s="470" t="s">
        <v>31</v>
      </c>
      <c r="C1546" s="13"/>
      <c r="D1546" s="440"/>
      <c r="E1546" s="23"/>
      <c r="F1546" s="12"/>
      <c r="G1546" s="1137"/>
      <c r="H1546" s="117"/>
      <c r="I1546" s="117"/>
      <c r="J1546" s="117">
        <f>J1547</f>
        <v>0</v>
      </c>
      <c r="K1546" s="117">
        <f t="shared" ref="K1546:M1546" si="118">K1547</f>
        <v>32500</v>
      </c>
      <c r="L1546" s="117" t="e">
        <f t="shared" si="118"/>
        <v>#REF!</v>
      </c>
      <c r="M1546" s="117">
        <f t="shared" si="118"/>
        <v>32500</v>
      </c>
      <c r="N1546" s="1130"/>
      <c r="O1546" s="166"/>
      <c r="P1546" s="1151"/>
      <c r="Q1546" s="117">
        <f t="shared" ref="Q1546:R1546" si="119">Q1547</f>
        <v>32500</v>
      </c>
      <c r="R1546" s="117">
        <f t="shared" si="119"/>
        <v>19443</v>
      </c>
      <c r="S1546" s="877"/>
      <c r="T1546" s="877"/>
      <c r="U1546" s="877"/>
      <c r="V1546" s="38"/>
      <c r="X1546" s="16" t="e">
        <f t="shared" si="116"/>
        <v>#REF!</v>
      </c>
      <c r="Y1546" s="16" t="e">
        <f t="shared" si="117"/>
        <v>#REF!</v>
      </c>
    </row>
    <row r="1547" spans="1:25" s="231" customFormat="1" ht="15">
      <c r="A1547" s="237"/>
      <c r="B1547" s="1175" t="s">
        <v>11</v>
      </c>
      <c r="C1547" s="166"/>
      <c r="D1547" s="391"/>
      <c r="E1547" s="69"/>
      <c r="F1547" s="38"/>
      <c r="G1547" s="38"/>
      <c r="H1547" s="38"/>
      <c r="I1547" s="38"/>
      <c r="J1547" s="890">
        <f>SUM(J1548:J1554)</f>
        <v>0</v>
      </c>
      <c r="K1547" s="890">
        <f>SUM(K1548:K1554)</f>
        <v>32500</v>
      </c>
      <c r="L1547" s="890" t="e">
        <f>SUM(L1548:L2880)</f>
        <v>#REF!</v>
      </c>
      <c r="M1547" s="890">
        <f>SUM(M1548:M1554)</f>
        <v>32500</v>
      </c>
      <c r="N1547" s="38"/>
      <c r="O1547" s="1136"/>
      <c r="P1547" s="1137" t="s">
        <v>102</v>
      </c>
      <c r="Q1547" s="890">
        <f t="shared" ref="Q1547:R1547" si="120">SUM(Q1548:Q1554)</f>
        <v>32500</v>
      </c>
      <c r="R1547" s="890">
        <f t="shared" si="120"/>
        <v>19443</v>
      </c>
      <c r="S1547" s="876"/>
      <c r="T1547" s="876"/>
      <c r="U1547" s="876"/>
      <c r="V1547" s="1137" t="s">
        <v>517</v>
      </c>
      <c r="X1547" s="16" t="e">
        <f t="shared" si="116"/>
        <v>#REF!</v>
      </c>
      <c r="Y1547" s="16" t="e">
        <f t="shared" si="117"/>
        <v>#REF!</v>
      </c>
    </row>
    <row r="1548" spans="1:25" s="231" customFormat="1" ht="63" customHeight="1">
      <c r="A1548" s="237"/>
      <c r="B1548" s="841" t="s">
        <v>1122</v>
      </c>
      <c r="C1548" s="1137" t="s">
        <v>1123</v>
      </c>
      <c r="D1548" s="361">
        <v>40899</v>
      </c>
      <c r="E1548" s="1138" t="s">
        <v>5165</v>
      </c>
      <c r="F1548" s="267" t="s">
        <v>5164</v>
      </c>
      <c r="G1548" s="1134"/>
      <c r="H1548" s="10"/>
      <c r="I1548" s="10"/>
      <c r="J1548" s="10"/>
      <c r="K1548" s="10">
        <v>8000</v>
      </c>
      <c r="L1548" s="10"/>
      <c r="M1548" s="14">
        <f>SUM(J1548:L1548)</f>
        <v>8000</v>
      </c>
      <c r="N1548" s="10"/>
      <c r="O1548" s="1136"/>
      <c r="P1548" s="1137" t="s">
        <v>102</v>
      </c>
      <c r="Q1548" s="93">
        <v>8000</v>
      </c>
      <c r="R1548" s="93">
        <f>1200+2799</f>
        <v>3999</v>
      </c>
      <c r="S1548" s="876"/>
      <c r="T1548" s="876"/>
      <c r="U1548" s="876"/>
      <c r="V1548" s="1137" t="s">
        <v>517</v>
      </c>
      <c r="W1548" s="12" t="s">
        <v>862</v>
      </c>
      <c r="X1548" s="16">
        <f t="shared" si="116"/>
        <v>8000</v>
      </c>
      <c r="Y1548" s="16">
        <f t="shared" si="117"/>
        <v>0</v>
      </c>
    </row>
    <row r="1549" spans="1:25" s="231" customFormat="1" ht="60">
      <c r="A1549" s="237"/>
      <c r="B1549" s="841" t="s">
        <v>1124</v>
      </c>
      <c r="C1549" s="1137" t="s">
        <v>1125</v>
      </c>
      <c r="D1549" s="361">
        <v>40899</v>
      </c>
      <c r="E1549" s="1138" t="s">
        <v>5165</v>
      </c>
      <c r="F1549" s="267" t="s">
        <v>5164</v>
      </c>
      <c r="G1549" s="1134"/>
      <c r="H1549" s="10"/>
      <c r="I1549" s="10"/>
      <c r="J1549" s="10"/>
      <c r="K1549" s="10">
        <v>2500</v>
      </c>
      <c r="L1549" s="10"/>
      <c r="M1549" s="14">
        <f>SUM(J1549:L1549)</f>
        <v>2500</v>
      </c>
      <c r="N1549" s="10"/>
      <c r="O1549" s="1136"/>
      <c r="P1549" s="1137" t="s">
        <v>102</v>
      </c>
      <c r="Q1549" s="93">
        <v>2500</v>
      </c>
      <c r="R1549" s="93">
        <v>2500</v>
      </c>
      <c r="S1549" s="876"/>
      <c r="T1549" s="876"/>
      <c r="U1549" s="876"/>
      <c r="V1549" s="1137" t="s">
        <v>517</v>
      </c>
      <c r="W1549" s="12" t="s">
        <v>862</v>
      </c>
      <c r="X1549" s="16">
        <f t="shared" si="116"/>
        <v>2500</v>
      </c>
      <c r="Y1549" s="16">
        <f t="shared" si="117"/>
        <v>0</v>
      </c>
    </row>
    <row r="1550" spans="1:25" s="231" customFormat="1" ht="45">
      <c r="A1550" s="237"/>
      <c r="B1550" s="841" t="s">
        <v>1126</v>
      </c>
      <c r="C1550" s="1137" t="s">
        <v>1127</v>
      </c>
      <c r="D1550" s="13">
        <v>40849</v>
      </c>
      <c r="E1550" s="1138" t="s">
        <v>5165</v>
      </c>
      <c r="F1550" s="267" t="s">
        <v>5164</v>
      </c>
      <c r="G1550" s="12"/>
      <c r="H1550" s="10"/>
      <c r="I1550" s="10"/>
      <c r="J1550" s="10"/>
      <c r="K1550" s="10">
        <v>5000</v>
      </c>
      <c r="L1550" s="10"/>
      <c r="M1550" s="14">
        <f>SUM(J1550:L1550)</f>
        <v>5000</v>
      </c>
      <c r="N1550" s="10"/>
      <c r="O1550" s="1136"/>
      <c r="P1550" s="1137" t="s">
        <v>102</v>
      </c>
      <c r="Q1550" s="93">
        <v>5000</v>
      </c>
      <c r="R1550" s="93">
        <f>750+4250</f>
        <v>5000</v>
      </c>
      <c r="S1550" s="876"/>
      <c r="T1550" s="876"/>
      <c r="U1550" s="876"/>
      <c r="V1550" s="1137" t="s">
        <v>517</v>
      </c>
      <c r="W1550" s="12" t="s">
        <v>862</v>
      </c>
      <c r="X1550" s="16">
        <f t="shared" si="116"/>
        <v>5000</v>
      </c>
      <c r="Y1550" s="16">
        <f t="shared" si="117"/>
        <v>0</v>
      </c>
    </row>
    <row r="1551" spans="1:25" s="16" customFormat="1" ht="45">
      <c r="A1551" s="236"/>
      <c r="B1551" s="841" t="s">
        <v>1128</v>
      </c>
      <c r="C1551" s="1137" t="s">
        <v>1129</v>
      </c>
      <c r="D1551" s="13">
        <v>40849</v>
      </c>
      <c r="E1551" s="1138" t="s">
        <v>5165</v>
      </c>
      <c r="F1551" s="267" t="s">
        <v>5164</v>
      </c>
      <c r="G1551" s="12"/>
      <c r="H1551" s="10"/>
      <c r="I1551" s="10"/>
      <c r="J1551" s="10"/>
      <c r="K1551" s="10">
        <v>5000</v>
      </c>
      <c r="L1551" s="10"/>
      <c r="M1551" s="14">
        <f>SUM(J1551:L1551)</f>
        <v>5000</v>
      </c>
      <c r="N1551" s="10"/>
      <c r="O1551" s="321"/>
      <c r="P1551" s="1137" t="s">
        <v>102</v>
      </c>
      <c r="Q1551" s="243">
        <v>5000</v>
      </c>
      <c r="R1551" s="243">
        <v>4999</v>
      </c>
      <c r="S1551" s="929"/>
      <c r="T1551" s="929"/>
      <c r="U1551" s="929"/>
      <c r="V1551" s="1137" t="s">
        <v>517</v>
      </c>
      <c r="W1551" s="12" t="s">
        <v>862</v>
      </c>
      <c r="X1551" s="16">
        <f t="shared" si="116"/>
        <v>5000</v>
      </c>
      <c r="Y1551" s="16">
        <f t="shared" si="117"/>
        <v>0</v>
      </c>
    </row>
    <row r="1552" spans="1:25" s="374" customFormat="1" ht="30">
      <c r="A1552" s="24"/>
      <c r="B1552" s="1101" t="s">
        <v>1130</v>
      </c>
      <c r="C1552" s="182" t="s">
        <v>1131</v>
      </c>
      <c r="D1552" s="419">
        <v>40995</v>
      </c>
      <c r="E1552" s="182" t="s">
        <v>5166</v>
      </c>
      <c r="F1552" s="1103" t="s">
        <v>1166</v>
      </c>
      <c r="G1552" s="1103"/>
      <c r="H1552" s="203"/>
      <c r="I1552" s="203"/>
      <c r="J1552" s="183"/>
      <c r="K1552" s="203">
        <v>2000</v>
      </c>
      <c r="L1552" s="203"/>
      <c r="M1552" s="203">
        <f>SUM(K1552:L1552)</f>
        <v>2000</v>
      </c>
      <c r="N1552" s="203"/>
      <c r="O1552" s="321"/>
      <c r="P1552" s="1137" t="s">
        <v>102</v>
      </c>
      <c r="Q1552" s="243">
        <v>2000</v>
      </c>
      <c r="R1552" s="243">
        <v>1445</v>
      </c>
      <c r="S1552" s="929"/>
      <c r="T1552" s="929"/>
      <c r="U1552" s="929"/>
      <c r="V1552" s="1137" t="s">
        <v>517</v>
      </c>
      <c r="W1552" s="12" t="s">
        <v>862</v>
      </c>
      <c r="X1552" s="16">
        <f t="shared" si="116"/>
        <v>2000</v>
      </c>
      <c r="Y1552" s="16">
        <f t="shared" si="117"/>
        <v>0</v>
      </c>
    </row>
    <row r="1553" spans="1:25" s="16" customFormat="1" ht="33" customHeight="1">
      <c r="A1553" s="236"/>
      <c r="B1553" s="1101" t="s">
        <v>1132</v>
      </c>
      <c r="C1553" s="182" t="s">
        <v>1133</v>
      </c>
      <c r="D1553" s="419">
        <v>41037</v>
      </c>
      <c r="E1553" s="182" t="s">
        <v>5168</v>
      </c>
      <c r="F1553" s="1103" t="s">
        <v>5167</v>
      </c>
      <c r="G1553" s="1103"/>
      <c r="H1553" s="203"/>
      <c r="I1553" s="203"/>
      <c r="J1553" s="183"/>
      <c r="K1553" s="203">
        <v>5000</v>
      </c>
      <c r="L1553" s="203"/>
      <c r="M1553" s="203">
        <f>SUM(K1553:L1553)</f>
        <v>5000</v>
      </c>
      <c r="N1553" s="203"/>
      <c r="O1553" s="321"/>
      <c r="P1553" s="1137" t="s">
        <v>102</v>
      </c>
      <c r="Q1553" s="243">
        <v>10000</v>
      </c>
      <c r="R1553" s="243">
        <v>1500</v>
      </c>
      <c r="S1553" s="929"/>
      <c r="T1553" s="929"/>
      <c r="U1553" s="929"/>
      <c r="V1553" s="1137" t="s">
        <v>517</v>
      </c>
      <c r="W1553" s="12" t="s">
        <v>866</v>
      </c>
      <c r="X1553" s="16">
        <f t="shared" si="116"/>
        <v>5000</v>
      </c>
      <c r="Y1553" s="16">
        <f t="shared" si="117"/>
        <v>0</v>
      </c>
    </row>
    <row r="1554" spans="1:25" s="16" customFormat="1" ht="33.75" customHeight="1">
      <c r="A1554" s="236"/>
      <c r="B1554" s="1101" t="s">
        <v>1132</v>
      </c>
      <c r="C1554" s="182" t="s">
        <v>1133</v>
      </c>
      <c r="D1554" s="419">
        <v>41037</v>
      </c>
      <c r="E1554" s="182" t="s">
        <v>5168</v>
      </c>
      <c r="F1554" s="1103" t="s">
        <v>5167</v>
      </c>
      <c r="G1554" s="1103"/>
      <c r="H1554" s="203"/>
      <c r="I1554" s="203"/>
      <c r="J1554" s="183"/>
      <c r="K1554" s="203">
        <v>5000</v>
      </c>
      <c r="L1554" s="203"/>
      <c r="M1554" s="203">
        <f>SUM(K1554:L1554)</f>
        <v>5000</v>
      </c>
      <c r="N1554" s="203"/>
      <c r="O1554" s="321"/>
      <c r="P1554" s="1138"/>
      <c r="Q1554" s="243"/>
      <c r="R1554" s="243"/>
      <c r="S1554" s="929"/>
      <c r="T1554" s="929"/>
      <c r="U1554" s="929"/>
      <c r="V1554" s="1137"/>
      <c r="W1554" s="12" t="s">
        <v>866</v>
      </c>
      <c r="X1554" s="16">
        <f t="shared" si="116"/>
        <v>5000</v>
      </c>
      <c r="Y1554" s="16">
        <f t="shared" si="117"/>
        <v>0</v>
      </c>
    </row>
    <row r="1555" spans="1:25" s="9" customFormat="1" ht="15">
      <c r="A1555" s="697"/>
      <c r="B1555" s="841"/>
      <c r="C1555" s="1137"/>
      <c r="D1555" s="13"/>
      <c r="E1555" s="1138"/>
      <c r="F1555" s="12"/>
      <c r="G1555" s="12"/>
      <c r="H1555" s="10"/>
      <c r="I1555" s="10"/>
      <c r="J1555" s="14"/>
      <c r="K1555" s="14"/>
      <c r="L1555" s="14"/>
      <c r="M1555" s="14"/>
      <c r="N1555" s="10"/>
      <c r="O1555" s="813"/>
      <c r="P1555" s="769"/>
      <c r="Q1555" s="243"/>
      <c r="R1555" s="243"/>
      <c r="S1555" s="929"/>
      <c r="T1555" s="929"/>
      <c r="U1555" s="929"/>
      <c r="V1555" s="1140"/>
      <c r="W1555" s="393"/>
      <c r="X1555" s="16">
        <f t="shared" ref="X1555:X1574" si="121">SUM(J1555:L1555)</f>
        <v>0</v>
      </c>
      <c r="Y1555" s="16">
        <f t="shared" si="117"/>
        <v>0</v>
      </c>
    </row>
    <row r="1556" spans="1:25" s="30" customFormat="1" ht="15">
      <c r="A1556" s="112"/>
      <c r="B1556" s="396" t="s">
        <v>137</v>
      </c>
      <c r="C1556" s="421"/>
      <c r="D1556" s="422"/>
      <c r="E1556" s="182"/>
      <c r="F1556" s="420"/>
      <c r="G1556" s="420"/>
      <c r="H1556" s="201"/>
      <c r="I1556" s="201"/>
      <c r="J1556" s="100">
        <f>J1557</f>
        <v>0</v>
      </c>
      <c r="K1556" s="100">
        <f t="shared" ref="K1556:M1556" si="122">K1557</f>
        <v>2000</v>
      </c>
      <c r="L1556" s="100">
        <f t="shared" si="122"/>
        <v>15966</v>
      </c>
      <c r="M1556" s="100">
        <f t="shared" si="122"/>
        <v>17966</v>
      </c>
      <c r="N1556" s="201"/>
      <c r="O1556" s="816"/>
      <c r="P1556" s="43"/>
      <c r="Q1556" s="100">
        <f t="shared" ref="Q1556:R1556" si="123">Q1557</f>
        <v>14956</v>
      </c>
      <c r="R1556" s="100">
        <f t="shared" si="123"/>
        <v>10244</v>
      </c>
      <c r="S1556" s="873"/>
      <c r="T1556" s="873"/>
      <c r="U1556" s="873"/>
      <c r="V1556" s="891"/>
      <c r="X1556" s="16">
        <f t="shared" si="121"/>
        <v>17966</v>
      </c>
      <c r="Y1556" s="16">
        <f t="shared" si="117"/>
        <v>0</v>
      </c>
    </row>
    <row r="1557" spans="1:25" s="30" customFormat="1" ht="18.75" customHeight="1">
      <c r="A1557" s="112"/>
      <c r="B1557" s="842" t="s">
        <v>11</v>
      </c>
      <c r="C1557" s="348"/>
      <c r="D1557" s="361"/>
      <c r="E1557" s="1138"/>
      <c r="F1557" s="318"/>
      <c r="G1557" s="360"/>
      <c r="H1557" s="356">
        <v>1801500</v>
      </c>
      <c r="I1557" s="356"/>
      <c r="J1557" s="547">
        <f>SUM(J1558:J1564)</f>
        <v>0</v>
      </c>
      <c r="K1557" s="547">
        <f t="shared" ref="K1557:M1557" si="124">SUM(K1558:K1564)</f>
        <v>2000</v>
      </c>
      <c r="L1557" s="547">
        <f t="shared" si="124"/>
        <v>15966</v>
      </c>
      <c r="M1557" s="547">
        <f t="shared" si="124"/>
        <v>17966</v>
      </c>
      <c r="N1557" s="475">
        <f>M1557+H1557</f>
        <v>1819466</v>
      </c>
      <c r="O1557" s="727"/>
      <c r="P1557" s="1138"/>
      <c r="Q1557" s="547">
        <f t="shared" ref="Q1557:R1557" si="125">SUM(Q1558:Q1564)</f>
        <v>14956</v>
      </c>
      <c r="R1557" s="547">
        <f t="shared" si="125"/>
        <v>10244</v>
      </c>
      <c r="S1557" s="407"/>
      <c r="T1557" s="407"/>
      <c r="U1557" s="407"/>
      <c r="V1557" s="892"/>
      <c r="X1557" s="16">
        <f t="shared" si="121"/>
        <v>17966</v>
      </c>
      <c r="Y1557" s="16">
        <f t="shared" si="117"/>
        <v>0</v>
      </c>
    </row>
    <row r="1558" spans="1:25" s="30" customFormat="1" ht="30.75" customHeight="1">
      <c r="A1558" s="112"/>
      <c r="B1558" s="1367" t="s">
        <v>1136</v>
      </c>
      <c r="C1558" s="1137" t="s">
        <v>1137</v>
      </c>
      <c r="D1558" s="13">
        <v>40849</v>
      </c>
      <c r="E1558" s="779" t="s">
        <v>1134</v>
      </c>
      <c r="F1558" s="792" t="s">
        <v>5169</v>
      </c>
      <c r="G1558" s="360"/>
      <c r="H1558" s="1176"/>
      <c r="I1558" s="1176"/>
      <c r="K1558" s="14"/>
      <c r="L1558" s="10">
        <v>95</v>
      </c>
      <c r="M1558" s="14">
        <f>SUM(J1558:L1558)</f>
        <v>95</v>
      </c>
      <c r="N1558" s="477"/>
      <c r="O1558" s="727"/>
      <c r="P1558" s="1138" t="s">
        <v>102</v>
      </c>
      <c r="Q1558" s="356">
        <v>95</v>
      </c>
      <c r="R1558" s="356">
        <v>95</v>
      </c>
      <c r="S1558" s="407" t="s">
        <v>1138</v>
      </c>
      <c r="T1558" s="407"/>
      <c r="U1558" s="407"/>
      <c r="V1558" s="43"/>
      <c r="W1558" s="12" t="s">
        <v>1135</v>
      </c>
      <c r="X1558" s="16">
        <f t="shared" si="121"/>
        <v>95</v>
      </c>
      <c r="Y1558" s="16">
        <f t="shared" si="117"/>
        <v>0</v>
      </c>
    </row>
    <row r="1559" spans="1:25" s="30" customFormat="1" ht="30">
      <c r="A1559" s="112"/>
      <c r="B1559" s="1367"/>
      <c r="C1559" s="1137" t="s">
        <v>1139</v>
      </c>
      <c r="D1559" s="13">
        <v>40884</v>
      </c>
      <c r="E1559" s="779" t="s">
        <v>1134</v>
      </c>
      <c r="F1559" s="792" t="s">
        <v>5170</v>
      </c>
      <c r="G1559" s="360"/>
      <c r="H1559" s="1176"/>
      <c r="I1559" s="1176"/>
      <c r="K1559" s="14"/>
      <c r="L1559" s="10">
        <v>871</v>
      </c>
      <c r="M1559" s="14">
        <f>SUM(J1559:L1559)</f>
        <v>871</v>
      </c>
      <c r="N1559" s="477"/>
      <c r="O1559" s="813"/>
      <c r="P1559" s="1138" t="s">
        <v>102</v>
      </c>
      <c r="Q1559" s="243">
        <v>868</v>
      </c>
      <c r="R1559" s="243">
        <v>868</v>
      </c>
      <c r="S1559" s="929" t="s">
        <v>1140</v>
      </c>
      <c r="T1559" s="929"/>
      <c r="U1559" s="929"/>
      <c r="V1559" s="117" t="s">
        <v>103</v>
      </c>
      <c r="W1559" s="12" t="s">
        <v>1135</v>
      </c>
      <c r="X1559" s="16">
        <f t="shared" si="121"/>
        <v>871</v>
      </c>
      <c r="Y1559" s="16">
        <f t="shared" si="117"/>
        <v>0</v>
      </c>
    </row>
    <row r="1560" spans="1:25" s="30" customFormat="1" ht="30">
      <c r="A1560" s="112"/>
      <c r="B1560" s="6"/>
      <c r="C1560" s="182"/>
      <c r="D1560" s="419"/>
      <c r="E1560" s="1137"/>
      <c r="F1560" s="72"/>
      <c r="G1560" s="432"/>
      <c r="H1560" s="243"/>
      <c r="I1560" s="243"/>
      <c r="J1560" s="201"/>
      <c r="K1560" s="201"/>
      <c r="L1560" s="201"/>
      <c r="M1560" s="201"/>
      <c r="N1560" s="201"/>
      <c r="O1560" s="816"/>
      <c r="P1560" s="43"/>
      <c r="Q1560" s="356"/>
      <c r="R1560" s="356"/>
      <c r="S1560" s="873"/>
      <c r="T1560" s="873"/>
      <c r="U1560" s="873"/>
      <c r="V1560" s="893" t="s">
        <v>1141</v>
      </c>
      <c r="X1560" s="16">
        <f t="shared" si="121"/>
        <v>0</v>
      </c>
      <c r="Y1560" s="16">
        <f t="shared" si="117"/>
        <v>0</v>
      </c>
    </row>
    <row r="1561" spans="1:25" s="30" customFormat="1" ht="44.25" customHeight="1">
      <c r="A1561" s="112"/>
      <c r="B1561" s="1101" t="s">
        <v>1143</v>
      </c>
      <c r="C1561" s="182" t="s">
        <v>1144</v>
      </c>
      <c r="D1561" s="419">
        <v>41039</v>
      </c>
      <c r="E1561" s="182" t="s">
        <v>5172</v>
      </c>
      <c r="F1561" s="1103" t="s">
        <v>5171</v>
      </c>
      <c r="G1561" s="1103"/>
      <c r="H1561" s="356">
        <v>1400834</v>
      </c>
      <c r="I1561" s="356"/>
      <c r="K1561" s="203"/>
      <c r="L1561" s="203">
        <v>10000</v>
      </c>
      <c r="M1561" s="203">
        <f>SUM(K1561:L1561)</f>
        <v>10000</v>
      </c>
      <c r="N1561" s="475">
        <f>M1561+H1561</f>
        <v>1410834</v>
      </c>
      <c r="O1561" s="816"/>
      <c r="P1561" s="32" t="s">
        <v>4471</v>
      </c>
      <c r="Q1561" s="356">
        <v>10000</v>
      </c>
      <c r="R1561" s="356">
        <f>5188+2100</f>
        <v>7288</v>
      </c>
      <c r="S1561" s="873" t="s">
        <v>1145</v>
      </c>
      <c r="T1561" s="873"/>
      <c r="U1561" s="873"/>
      <c r="V1561" s="892"/>
      <c r="W1561" s="31" t="s">
        <v>1142</v>
      </c>
      <c r="X1561" s="16">
        <f t="shared" si="121"/>
        <v>10000</v>
      </c>
      <c r="Y1561" s="16">
        <f t="shared" si="117"/>
        <v>0</v>
      </c>
    </row>
    <row r="1562" spans="1:25" s="30" customFormat="1" ht="30" customHeight="1">
      <c r="A1562" s="112"/>
      <c r="B1562" s="1101" t="s">
        <v>1147</v>
      </c>
      <c r="C1562" s="182" t="s">
        <v>1149</v>
      </c>
      <c r="D1562" s="419">
        <v>41068</v>
      </c>
      <c r="E1562" s="182" t="s">
        <v>851</v>
      </c>
      <c r="F1562" s="72" t="s">
        <v>5170</v>
      </c>
      <c r="G1562" s="72" t="s">
        <v>1148</v>
      </c>
      <c r="H1562" s="356">
        <v>1801500</v>
      </c>
      <c r="I1562" s="356"/>
      <c r="K1562" s="203"/>
      <c r="L1562" s="203">
        <v>2000</v>
      </c>
      <c r="M1562" s="203">
        <f>SUM(K1562:L1562)</f>
        <v>2000</v>
      </c>
      <c r="N1562" s="475">
        <f>M1562+H1562</f>
        <v>1803500</v>
      </c>
      <c r="O1562" s="816"/>
      <c r="P1562" s="1138" t="s">
        <v>102</v>
      </c>
      <c r="Q1562" s="356">
        <v>1993</v>
      </c>
      <c r="R1562" s="356">
        <v>1993</v>
      </c>
      <c r="S1562" s="873" t="s">
        <v>1150</v>
      </c>
      <c r="T1562" s="873"/>
      <c r="U1562" s="873"/>
      <c r="V1562" s="43"/>
      <c r="W1562" s="31" t="s">
        <v>1146</v>
      </c>
      <c r="X1562" s="16">
        <f t="shared" si="121"/>
        <v>2000</v>
      </c>
      <c r="Y1562" s="16">
        <f t="shared" si="117"/>
        <v>0</v>
      </c>
    </row>
    <row r="1563" spans="1:25" s="30" customFormat="1" ht="75">
      <c r="A1563" s="112"/>
      <c r="B1563" s="1101" t="s">
        <v>1152</v>
      </c>
      <c r="C1563" s="182" t="s">
        <v>1153</v>
      </c>
      <c r="D1563" s="419">
        <v>41194</v>
      </c>
      <c r="E1563" s="182" t="s">
        <v>4963</v>
      </c>
      <c r="F1563" s="1103" t="s">
        <v>6565</v>
      </c>
      <c r="G1563" s="1103"/>
      <c r="H1563" s="356">
        <v>284597</v>
      </c>
      <c r="I1563" s="356"/>
      <c r="K1563" s="203"/>
      <c r="L1563" s="203">
        <v>2000</v>
      </c>
      <c r="M1563" s="203">
        <f>SUM(K1563:L1563)</f>
        <v>2000</v>
      </c>
      <c r="N1563" s="475">
        <f>M1563+H1563</f>
        <v>286597</v>
      </c>
      <c r="O1563" s="820"/>
      <c r="P1563" s="32" t="s">
        <v>104</v>
      </c>
      <c r="Q1563" s="508">
        <v>2000</v>
      </c>
      <c r="R1563" s="508"/>
      <c r="S1563" s="894"/>
      <c r="T1563" s="894"/>
      <c r="U1563" s="894"/>
      <c r="V1563" s="43"/>
      <c r="W1563" s="31" t="s">
        <v>1151</v>
      </c>
      <c r="X1563" s="16">
        <f t="shared" si="121"/>
        <v>2000</v>
      </c>
      <c r="Y1563" s="16">
        <f t="shared" si="117"/>
        <v>0</v>
      </c>
    </row>
    <row r="1564" spans="1:25" s="39" customFormat="1" ht="30">
      <c r="B1564" s="1131" t="s">
        <v>6336</v>
      </c>
      <c r="C1564" s="1137" t="s">
        <v>1155</v>
      </c>
      <c r="D1564" s="13">
        <v>40886</v>
      </c>
      <c r="E1564" s="779" t="s">
        <v>4965</v>
      </c>
      <c r="F1564" s="371" t="s">
        <v>5173</v>
      </c>
      <c r="G1564" s="461"/>
      <c r="H1564" s="356">
        <v>601663</v>
      </c>
      <c r="I1564" s="356"/>
      <c r="J1564" s="30"/>
      <c r="K1564" s="10">
        <v>2000</v>
      </c>
      <c r="L1564" s="10">
        <v>1000</v>
      </c>
      <c r="M1564" s="10">
        <f>SUM(J1564:L1564)</f>
        <v>3000</v>
      </c>
      <c r="N1564" s="721">
        <f>M1564+H1564</f>
        <v>604663</v>
      </c>
      <c r="O1564" s="23"/>
      <c r="P1564" s="1138" t="s">
        <v>102</v>
      </c>
      <c r="Q1564" s="216"/>
      <c r="R1564" s="216"/>
      <c r="S1564" s="877"/>
      <c r="T1564" s="877"/>
      <c r="U1564" s="877"/>
      <c r="V1564" s="22"/>
      <c r="W1564" s="12" t="s">
        <v>1154</v>
      </c>
      <c r="X1564" s="16">
        <f t="shared" si="121"/>
        <v>3000</v>
      </c>
      <c r="Y1564" s="16">
        <f t="shared" si="117"/>
        <v>0</v>
      </c>
    </row>
    <row r="1565" spans="1:25" s="231" customFormat="1" ht="15">
      <c r="A1565" s="237"/>
      <c r="B1565" s="21"/>
      <c r="C1565" s="23"/>
      <c r="D1565" s="380"/>
      <c r="E1565" s="23"/>
      <c r="F1565" s="22"/>
      <c r="G1565" s="22"/>
      <c r="H1565" s="22"/>
      <c r="I1565" s="22"/>
      <c r="J1565" s="22"/>
      <c r="K1565" s="22"/>
      <c r="L1565" s="22"/>
      <c r="M1565" s="22"/>
      <c r="N1565" s="22"/>
      <c r="O1565" s="117"/>
      <c r="P1565" s="1126"/>
      <c r="Q1565" s="93"/>
      <c r="R1565" s="93"/>
      <c r="S1565" s="876"/>
      <c r="T1565" s="876"/>
      <c r="U1565" s="876"/>
      <c r="W1565" s="360"/>
      <c r="X1565" s="16">
        <f t="shared" si="121"/>
        <v>0</v>
      </c>
      <c r="Y1565" s="16">
        <f t="shared" si="117"/>
        <v>0</v>
      </c>
    </row>
    <row r="1566" spans="1:25" s="231" customFormat="1" ht="15">
      <c r="A1566" s="237"/>
      <c r="B1566" s="843" t="s">
        <v>1156</v>
      </c>
      <c r="C1566" s="348"/>
      <c r="D1566" s="190"/>
      <c r="E1566" s="1138"/>
      <c r="F1566" s="12"/>
      <c r="G1566" s="187"/>
      <c r="H1566" s="6"/>
      <c r="I1566" s="6"/>
      <c r="J1566" s="462">
        <f>J1567+J1570</f>
        <v>0</v>
      </c>
      <c r="K1566" s="462">
        <f>K1567+K1570</f>
        <v>20000</v>
      </c>
      <c r="L1566" s="462">
        <f>L1567+L1570</f>
        <v>49586</v>
      </c>
      <c r="M1566" s="462">
        <f>M1567+M1570</f>
        <v>20000</v>
      </c>
      <c r="N1566" s="6"/>
      <c r="O1566" s="117"/>
      <c r="P1566" s="1126"/>
      <c r="Q1566" s="462">
        <f t="shared" ref="Q1566:R1566" si="126">Q1567+Q1570</f>
        <v>15000</v>
      </c>
      <c r="R1566" s="462">
        <f t="shared" si="126"/>
        <v>15000</v>
      </c>
      <c r="S1566" s="876"/>
      <c r="T1566" s="876"/>
      <c r="U1566" s="876"/>
      <c r="W1566" s="360"/>
      <c r="X1566" s="16">
        <f t="shared" si="121"/>
        <v>69586</v>
      </c>
      <c r="Y1566" s="16">
        <f t="shared" si="117"/>
        <v>49586</v>
      </c>
    </row>
    <row r="1567" spans="1:25" s="231" customFormat="1" ht="15">
      <c r="A1567" s="237"/>
      <c r="B1567" s="855" t="s">
        <v>11</v>
      </c>
      <c r="C1567" s="348"/>
      <c r="D1567" s="190"/>
      <c r="E1567" s="1138"/>
      <c r="F1567" s="12"/>
      <c r="G1567" s="187"/>
      <c r="H1567" s="6"/>
      <c r="I1567" s="6"/>
      <c r="J1567" s="400">
        <f>J1568+J356</f>
        <v>0</v>
      </c>
      <c r="K1567" s="400">
        <f>K1568+K356</f>
        <v>5000</v>
      </c>
      <c r="L1567" s="400">
        <f>L1568+L356</f>
        <v>49586</v>
      </c>
      <c r="M1567" s="400">
        <f>M1568</f>
        <v>5000</v>
      </c>
      <c r="N1567" s="6"/>
      <c r="O1567" s="1136"/>
      <c r="P1567" s="1138"/>
      <c r="Q1567" s="400">
        <f t="shared" ref="Q1567:R1567" si="127">Q1568</f>
        <v>5000</v>
      </c>
      <c r="R1567" s="400">
        <f t="shared" si="127"/>
        <v>5000</v>
      </c>
      <c r="S1567" s="876"/>
      <c r="T1567" s="876"/>
      <c r="U1567" s="876"/>
      <c r="X1567" s="16">
        <f t="shared" si="121"/>
        <v>54586</v>
      </c>
      <c r="Y1567" s="16">
        <f t="shared" si="117"/>
        <v>49586</v>
      </c>
    </row>
    <row r="1568" spans="1:25" s="231" customFormat="1" ht="130.5" customHeight="1">
      <c r="A1568" s="237"/>
      <c r="B1568" s="846" t="s">
        <v>6577</v>
      </c>
      <c r="C1568" s="1126" t="s">
        <v>4956</v>
      </c>
      <c r="D1568" s="361">
        <v>40886</v>
      </c>
      <c r="E1568" s="779" t="s">
        <v>5175</v>
      </c>
      <c r="F1568" s="212" t="s">
        <v>5174</v>
      </c>
      <c r="G1568" s="360"/>
      <c r="H1568" s="10">
        <v>27225</v>
      </c>
      <c r="I1568" s="10"/>
      <c r="J1568" s="14"/>
      <c r="K1568" s="14">
        <v>5000</v>
      </c>
      <c r="L1568" s="14"/>
      <c r="M1568" s="14">
        <f>SUM(J1568:L1568)</f>
        <v>5000</v>
      </c>
      <c r="N1568" s="10">
        <f>H1568+M1568</f>
        <v>32225</v>
      </c>
      <c r="O1568" s="1136"/>
      <c r="P1568" s="1138" t="s">
        <v>102</v>
      </c>
      <c r="Q1568" s="93">
        <v>5000</v>
      </c>
      <c r="R1568" s="93">
        <v>5000</v>
      </c>
      <c r="S1568" s="1345" t="s">
        <v>6234</v>
      </c>
      <c r="T1568" s="1345"/>
      <c r="U1568" s="1345"/>
      <c r="W1568" s="360" t="s">
        <v>1157</v>
      </c>
      <c r="X1568" s="16">
        <f t="shared" si="121"/>
        <v>5000</v>
      </c>
      <c r="Y1568" s="16">
        <f t="shared" si="117"/>
        <v>0</v>
      </c>
    </row>
    <row r="1569" spans="1:25" s="231" customFormat="1" ht="15">
      <c r="A1569" s="237"/>
      <c r="B1569" s="548"/>
      <c r="C1569" s="1126"/>
      <c r="D1569" s="361"/>
      <c r="E1569" s="779"/>
      <c r="F1569" s="212"/>
      <c r="G1569" s="360"/>
      <c r="H1569" s="10"/>
      <c r="I1569" s="10"/>
      <c r="J1569" s="14"/>
      <c r="K1569" s="14"/>
      <c r="L1569" s="14"/>
      <c r="M1569" s="14"/>
      <c r="N1569" s="10"/>
      <c r="O1569" s="117"/>
      <c r="P1569" s="1126"/>
      <c r="Q1569" s="93"/>
      <c r="R1569" s="93"/>
      <c r="S1569" s="876"/>
      <c r="T1569" s="876"/>
      <c r="U1569" s="876"/>
      <c r="W1569" s="360"/>
      <c r="X1569" s="16">
        <f t="shared" si="121"/>
        <v>0</v>
      </c>
      <c r="Y1569" s="16">
        <f t="shared" si="117"/>
        <v>0</v>
      </c>
    </row>
    <row r="1570" spans="1:25" s="231" customFormat="1" ht="15">
      <c r="A1570" s="237"/>
      <c r="B1570" s="1122" t="s">
        <v>1159</v>
      </c>
      <c r="C1570" s="1126"/>
      <c r="D1570" s="361"/>
      <c r="E1570" s="1138"/>
      <c r="F1570" s="12"/>
      <c r="G1570" s="187"/>
      <c r="H1570" s="6">
        <v>207720</v>
      </c>
      <c r="I1570" s="6"/>
      <c r="J1570" s="7">
        <f>SUM(J1571:J1573)</f>
        <v>0</v>
      </c>
      <c r="K1570" s="7">
        <f>SUM(K1571:K1573)</f>
        <v>15000</v>
      </c>
      <c r="L1570" s="7">
        <f>SUM(L1571:L1573)</f>
        <v>0</v>
      </c>
      <c r="M1570" s="7">
        <f>SUM(M1571:M1573)</f>
        <v>15000</v>
      </c>
      <c r="N1570" s="6">
        <f>H1570+M1570</f>
        <v>222720</v>
      </c>
      <c r="O1570" s="1136"/>
      <c r="P1570" s="1126"/>
      <c r="Q1570" s="7">
        <f t="shared" ref="Q1570:R1570" si="128">SUM(Q1571:Q1573)</f>
        <v>10000</v>
      </c>
      <c r="R1570" s="7">
        <f t="shared" si="128"/>
        <v>10000</v>
      </c>
      <c r="S1570" s="876"/>
      <c r="T1570" s="876"/>
      <c r="U1570" s="876"/>
      <c r="X1570" s="16">
        <f t="shared" si="121"/>
        <v>15000</v>
      </c>
      <c r="Y1570" s="16">
        <f t="shared" si="117"/>
        <v>0</v>
      </c>
    </row>
    <row r="1571" spans="1:25" s="231" customFormat="1" ht="117.75" customHeight="1">
      <c r="A1571" s="237"/>
      <c r="B1571" s="1131" t="s">
        <v>5812</v>
      </c>
      <c r="C1571" s="1126" t="s">
        <v>4957</v>
      </c>
      <c r="D1571" s="361">
        <v>40886</v>
      </c>
      <c r="E1571" s="779" t="s">
        <v>5177</v>
      </c>
      <c r="F1571" s="212" t="s">
        <v>5176</v>
      </c>
      <c r="G1571" s="360"/>
      <c r="H1571" s="10"/>
      <c r="I1571" s="10"/>
      <c r="J1571" s="14"/>
      <c r="K1571" s="14">
        <v>5000</v>
      </c>
      <c r="L1571" s="14"/>
      <c r="M1571" s="14">
        <f>SUM(J1571:L1571)</f>
        <v>5000</v>
      </c>
      <c r="N1571" s="10"/>
      <c r="O1571" s="386"/>
      <c r="P1571" s="1138" t="s">
        <v>102</v>
      </c>
      <c r="Q1571" s="93">
        <v>5000</v>
      </c>
      <c r="R1571" s="93">
        <v>5000</v>
      </c>
      <c r="S1571" s="1391" t="s">
        <v>6334</v>
      </c>
      <c r="T1571" s="1391"/>
      <c r="U1571" s="1391"/>
      <c r="W1571" s="360" t="s">
        <v>1160</v>
      </c>
      <c r="X1571" s="16">
        <f t="shared" si="121"/>
        <v>5000</v>
      </c>
      <c r="Y1571" s="16">
        <f t="shared" si="117"/>
        <v>0</v>
      </c>
    </row>
    <row r="1572" spans="1:25" s="231" customFormat="1" ht="15">
      <c r="A1572" s="237"/>
      <c r="B1572" s="548" t="s">
        <v>1161</v>
      </c>
      <c r="C1572" s="235"/>
      <c r="D1572" s="459"/>
      <c r="E1572" s="779"/>
      <c r="H1572" s="458"/>
      <c r="I1572" s="458"/>
      <c r="N1572" s="458"/>
      <c r="O1572" s="1136"/>
      <c r="P1572" s="1126"/>
      <c r="Q1572" s="93"/>
      <c r="R1572" s="93"/>
      <c r="S1572" s="876"/>
      <c r="T1572" s="876"/>
      <c r="U1572" s="876"/>
      <c r="X1572" s="16">
        <f t="shared" si="121"/>
        <v>0</v>
      </c>
      <c r="Y1572" s="16">
        <f t="shared" si="117"/>
        <v>0</v>
      </c>
    </row>
    <row r="1573" spans="1:25" s="39" customFormat="1" ht="277.5" customHeight="1">
      <c r="B1573" s="1131" t="s">
        <v>5811</v>
      </c>
      <c r="C1573" s="1126" t="s">
        <v>4958</v>
      </c>
      <c r="D1573" s="361">
        <v>40886</v>
      </c>
      <c r="E1573" s="779" t="s">
        <v>5179</v>
      </c>
      <c r="F1573" s="212" t="s">
        <v>5178</v>
      </c>
      <c r="G1573" s="360"/>
      <c r="H1573" s="10"/>
      <c r="I1573" s="10"/>
      <c r="J1573" s="14"/>
      <c r="K1573" s="14">
        <v>10000</v>
      </c>
      <c r="L1573" s="14"/>
      <c r="M1573" s="14">
        <f>SUM(J1573:L1573)</f>
        <v>10000</v>
      </c>
      <c r="N1573" s="10"/>
      <c r="O1573" s="23"/>
      <c r="P1573" s="1138" t="s">
        <v>102</v>
      </c>
      <c r="Q1573" s="216">
        <v>5000</v>
      </c>
      <c r="R1573" s="216">
        <v>5000</v>
      </c>
      <c r="S1573" s="1365" t="s">
        <v>6335</v>
      </c>
      <c r="T1573" s="1365"/>
      <c r="U1573" s="1365"/>
      <c r="V1573" s="22"/>
      <c r="W1573" s="360" t="s">
        <v>1160</v>
      </c>
      <c r="X1573" s="16">
        <f t="shared" si="121"/>
        <v>10000</v>
      </c>
      <c r="Y1573" s="16">
        <f t="shared" si="117"/>
        <v>0</v>
      </c>
    </row>
    <row r="1574" spans="1:25" s="16" customFormat="1" ht="15">
      <c r="A1574" s="236"/>
      <c r="B1574" s="21"/>
      <c r="C1574" s="23"/>
      <c r="D1574" s="380"/>
      <c r="E1574" s="23"/>
      <c r="F1574" s="22"/>
      <c r="G1574" s="22"/>
      <c r="H1574" s="22"/>
      <c r="I1574" s="22"/>
      <c r="J1574" s="21"/>
      <c r="K1574" s="22"/>
      <c r="L1574" s="22"/>
      <c r="M1574" s="22"/>
      <c r="N1574" s="22"/>
      <c r="O1574" s="812"/>
      <c r="P1574" s="165"/>
      <c r="Q1574" s="243"/>
      <c r="R1574" s="243"/>
      <c r="S1574" s="515"/>
      <c r="T1574" s="515"/>
      <c r="U1574" s="515"/>
      <c r="V1574" s="14"/>
      <c r="W1574" s="14"/>
      <c r="X1574" s="16">
        <f t="shared" si="121"/>
        <v>0</v>
      </c>
      <c r="Y1574" s="16">
        <f t="shared" si="117"/>
        <v>0</v>
      </c>
    </row>
    <row r="1575" spans="1:25" s="16" customFormat="1" ht="15">
      <c r="A1575" s="236"/>
      <c r="B1575" s="470" t="s">
        <v>1162</v>
      </c>
      <c r="C1575" s="77"/>
      <c r="D1575" s="78"/>
      <c r="E1575" s="23"/>
      <c r="F1575" s="98"/>
      <c r="G1575" s="97"/>
      <c r="H1575" s="357"/>
      <c r="I1575" s="357"/>
      <c r="J1575" s="121">
        <f>J1576</f>
        <v>0</v>
      </c>
      <c r="K1575" s="121">
        <f t="shared" ref="K1575:M1575" si="129">K1576</f>
        <v>5000</v>
      </c>
      <c r="L1575" s="121">
        <f t="shared" si="129"/>
        <v>0</v>
      </c>
      <c r="M1575" s="121">
        <f t="shared" si="129"/>
        <v>5000</v>
      </c>
      <c r="N1575" s="357"/>
      <c r="O1575" s="1136"/>
      <c r="P1575" s="1137"/>
      <c r="Q1575" s="121">
        <f t="shared" ref="Q1575:R1575" si="130">Q1576</f>
        <v>0</v>
      </c>
      <c r="R1575" s="121">
        <f t="shared" si="130"/>
        <v>0</v>
      </c>
      <c r="S1575" s="876"/>
      <c r="T1575" s="876"/>
      <c r="U1575" s="876"/>
      <c r="V1575" s="14" t="s">
        <v>517</v>
      </c>
      <c r="X1575" s="16">
        <f t="shared" ref="X1575:X1638" si="131">SUM(J1575:L1575)</f>
        <v>5000</v>
      </c>
      <c r="Y1575" s="16">
        <f t="shared" si="117"/>
        <v>0</v>
      </c>
    </row>
    <row r="1576" spans="1:25" s="39" customFormat="1" ht="75">
      <c r="B1576" s="1101" t="s">
        <v>1164</v>
      </c>
      <c r="C1576" s="182" t="s">
        <v>1165</v>
      </c>
      <c r="D1576" s="419">
        <v>41250</v>
      </c>
      <c r="E1576" s="182" t="s">
        <v>5181</v>
      </c>
      <c r="F1576" s="1103" t="s">
        <v>5180</v>
      </c>
      <c r="G1576" s="1103"/>
      <c r="H1576" s="105">
        <v>2623</v>
      </c>
      <c r="I1576" s="105"/>
      <c r="J1576" s="79"/>
      <c r="K1576" s="203">
        <v>5000</v>
      </c>
      <c r="L1576" s="203"/>
      <c r="M1576" s="203">
        <f>SUM(K1576:L1576)</f>
        <v>5000</v>
      </c>
      <c r="N1576" s="10">
        <f>M1576+H1576</f>
        <v>7623</v>
      </c>
      <c r="O1576" s="23"/>
      <c r="P1576" s="32" t="s">
        <v>4471</v>
      </c>
      <c r="Q1576" s="216"/>
      <c r="R1576" s="216"/>
      <c r="S1576" s="877"/>
      <c r="T1576" s="877"/>
      <c r="U1576" s="877"/>
      <c r="V1576" s="22"/>
      <c r="W1576" s="31" t="s">
        <v>1163</v>
      </c>
      <c r="X1576" s="16">
        <f t="shared" si="131"/>
        <v>5000</v>
      </c>
      <c r="Y1576" s="16">
        <f t="shared" si="117"/>
        <v>0</v>
      </c>
    </row>
    <row r="1577" spans="1:25" s="39" customFormat="1" ht="15.95" customHeight="1">
      <c r="B1577" s="1101"/>
      <c r="C1577" s="182"/>
      <c r="D1577" s="419"/>
      <c r="E1577" s="182"/>
      <c r="F1577" s="1103"/>
      <c r="G1577" s="1103"/>
      <c r="H1577" s="105"/>
      <c r="I1577" s="105"/>
      <c r="J1577" s="79"/>
      <c r="K1577" s="203"/>
      <c r="L1577" s="203"/>
      <c r="M1577" s="203"/>
      <c r="N1577" s="10"/>
      <c r="O1577" s="23"/>
      <c r="P1577" s="165"/>
      <c r="Q1577" s="216"/>
      <c r="R1577" s="216"/>
      <c r="S1577" s="877"/>
      <c r="T1577" s="877"/>
      <c r="U1577" s="877"/>
      <c r="V1577" s="22"/>
      <c r="X1577" s="16">
        <f t="shared" si="131"/>
        <v>0</v>
      </c>
      <c r="Y1577" s="16">
        <f t="shared" ref="Y1577:Y1608" si="132">X1577-M1577</f>
        <v>0</v>
      </c>
    </row>
    <row r="1578" spans="1:25" s="31" customFormat="1" ht="15">
      <c r="B1578" s="470" t="s">
        <v>139</v>
      </c>
      <c r="C1578" s="23"/>
      <c r="D1578" s="380"/>
      <c r="E1578" s="23"/>
      <c r="F1578" s="22"/>
      <c r="G1578" s="22"/>
      <c r="H1578" s="22"/>
      <c r="I1578" s="22"/>
      <c r="J1578" s="36">
        <f>SUM(J1579:J1680)</f>
        <v>0</v>
      </c>
      <c r="K1578" s="36">
        <f t="shared" ref="K1578:M1578" si="133">SUM(K1579:K1680)</f>
        <v>63805</v>
      </c>
      <c r="L1578" s="36">
        <f t="shared" si="133"/>
        <v>1500</v>
      </c>
      <c r="M1578" s="36">
        <f t="shared" si="133"/>
        <v>65305</v>
      </c>
      <c r="N1578" s="22"/>
      <c r="O1578" s="32"/>
      <c r="P1578" s="165"/>
      <c r="Q1578" s="36">
        <f t="shared" ref="Q1578:R1578" si="134">SUM(Q1579:Q1680)</f>
        <v>15258.259</v>
      </c>
      <c r="R1578" s="36">
        <f t="shared" si="134"/>
        <v>13100.636999999999</v>
      </c>
      <c r="S1578" s="407"/>
      <c r="T1578" s="407"/>
      <c r="U1578" s="407"/>
      <c r="W1578" s="32"/>
      <c r="X1578" s="16">
        <f t="shared" si="131"/>
        <v>65305</v>
      </c>
      <c r="Y1578" s="16">
        <f t="shared" si="132"/>
        <v>0</v>
      </c>
    </row>
    <row r="1579" spans="1:25" s="31" customFormat="1" ht="15">
      <c r="B1579" s="844" t="s">
        <v>1166</v>
      </c>
      <c r="C1579" s="1126"/>
      <c r="D1579" s="190"/>
      <c r="E1579" s="1137"/>
      <c r="F1579" s="12"/>
      <c r="G1579" s="14"/>
      <c r="H1579" s="691"/>
      <c r="I1579" s="691"/>
      <c r="J1579" s="6"/>
      <c r="O1579" s="32"/>
      <c r="P1579" s="32"/>
      <c r="Q1579" s="356"/>
      <c r="R1579" s="356"/>
      <c r="S1579" s="407"/>
      <c r="T1579" s="407"/>
      <c r="U1579" s="407"/>
      <c r="V1579" s="32" t="s">
        <v>871</v>
      </c>
      <c r="X1579" s="16">
        <f t="shared" si="131"/>
        <v>0</v>
      </c>
      <c r="Y1579" s="16">
        <f t="shared" si="132"/>
        <v>0</v>
      </c>
    </row>
    <row r="1580" spans="1:25" s="31" customFormat="1" ht="45">
      <c r="B1580" s="550" t="s">
        <v>546</v>
      </c>
      <c r="C1580" s="1137" t="s">
        <v>1168</v>
      </c>
      <c r="D1580" s="13">
        <v>40899</v>
      </c>
      <c r="E1580" s="779" t="s">
        <v>3239</v>
      </c>
      <c r="F1580" s="371" t="s">
        <v>5182</v>
      </c>
      <c r="G1580" s="212"/>
      <c r="H1580" s="631"/>
      <c r="I1580" s="631"/>
      <c r="J1580" s="6"/>
      <c r="K1580" s="10">
        <v>2000</v>
      </c>
      <c r="L1580" s="6"/>
      <c r="M1580" s="14">
        <f t="shared" ref="M1580:M1671" si="135">SUM(J1580:L1580)</f>
        <v>2000</v>
      </c>
      <c r="O1580" s="32"/>
      <c r="P1580" s="1138" t="s">
        <v>102</v>
      </c>
      <c r="Q1580" s="356"/>
      <c r="R1580" s="356"/>
      <c r="S1580" s="407"/>
      <c r="T1580" s="407"/>
      <c r="U1580" s="407"/>
      <c r="V1580" s="32" t="s">
        <v>871</v>
      </c>
      <c r="W1580" s="31" t="s">
        <v>1167</v>
      </c>
      <c r="X1580" s="16">
        <f t="shared" si="131"/>
        <v>2000</v>
      </c>
      <c r="Y1580" s="16">
        <f t="shared" si="132"/>
        <v>0</v>
      </c>
    </row>
    <row r="1581" spans="1:25" s="31" customFormat="1" ht="45">
      <c r="B1581" s="550" t="s">
        <v>546</v>
      </c>
      <c r="C1581" s="1126" t="s">
        <v>1169</v>
      </c>
      <c r="D1581" s="361">
        <v>40891</v>
      </c>
      <c r="E1581" s="779" t="s">
        <v>3239</v>
      </c>
      <c r="F1581" s="371" t="s">
        <v>5182</v>
      </c>
      <c r="G1581" s="212"/>
      <c r="H1581" s="631"/>
      <c r="I1581" s="631"/>
      <c r="J1581" s="6"/>
      <c r="K1581" s="10">
        <v>1000</v>
      </c>
      <c r="L1581" s="6"/>
      <c r="M1581" s="14">
        <f>SUM(J1581:L1581)</f>
        <v>1000</v>
      </c>
      <c r="O1581" s="32"/>
      <c r="P1581" s="1138" t="s">
        <v>102</v>
      </c>
      <c r="Q1581" s="356"/>
      <c r="R1581" s="356"/>
      <c r="S1581" s="407"/>
      <c r="T1581" s="407"/>
      <c r="U1581" s="407"/>
      <c r="V1581" s="32"/>
      <c r="W1581" s="31" t="s">
        <v>1167</v>
      </c>
      <c r="X1581" s="16">
        <f t="shared" si="131"/>
        <v>1000</v>
      </c>
      <c r="Y1581" s="16">
        <f t="shared" si="132"/>
        <v>0</v>
      </c>
    </row>
    <row r="1582" spans="1:25" s="31" customFormat="1" ht="15">
      <c r="B1582" s="550"/>
      <c r="C1582" s="1126"/>
      <c r="D1582" s="361"/>
      <c r="E1582" s="779"/>
      <c r="F1582" s="371"/>
      <c r="G1582" s="212"/>
      <c r="H1582" s="1177"/>
      <c r="I1582" s="1177"/>
      <c r="J1582" s="6"/>
      <c r="K1582" s="10"/>
      <c r="L1582" s="6"/>
      <c r="M1582" s="14"/>
      <c r="O1582" s="32"/>
      <c r="P1582" s="32"/>
      <c r="Q1582" s="356"/>
      <c r="R1582" s="356"/>
      <c r="S1582" s="407"/>
      <c r="T1582" s="407"/>
      <c r="U1582" s="407"/>
      <c r="V1582" s="32"/>
      <c r="X1582" s="16">
        <f t="shared" si="131"/>
        <v>0</v>
      </c>
      <c r="Y1582" s="16">
        <f t="shared" si="132"/>
        <v>0</v>
      </c>
    </row>
    <row r="1583" spans="1:25" s="31" customFormat="1" ht="15" customHeight="1">
      <c r="B1583" s="550"/>
      <c r="C1583" s="1126"/>
      <c r="D1583" s="361"/>
      <c r="E1583" s="779"/>
      <c r="F1583" s="371"/>
      <c r="G1583" s="212"/>
      <c r="H1583" s="1177"/>
      <c r="I1583" s="1177"/>
      <c r="J1583" s="6"/>
      <c r="K1583" s="10"/>
      <c r="L1583" s="6"/>
      <c r="M1583" s="14"/>
      <c r="O1583" s="816"/>
      <c r="P1583" s="32"/>
      <c r="Q1583" s="356"/>
      <c r="R1583" s="356"/>
      <c r="S1583" s="873"/>
      <c r="T1583" s="873"/>
      <c r="U1583" s="873"/>
      <c r="V1583" s="32" t="s">
        <v>871</v>
      </c>
      <c r="X1583" s="16">
        <f t="shared" si="131"/>
        <v>0</v>
      </c>
      <c r="Y1583" s="16">
        <f t="shared" si="132"/>
        <v>0</v>
      </c>
    </row>
    <row r="1584" spans="1:25" s="31" customFormat="1" ht="60">
      <c r="B1584" s="550" t="s">
        <v>546</v>
      </c>
      <c r="C1584" s="1137" t="s">
        <v>1171</v>
      </c>
      <c r="D1584" s="13">
        <v>40899</v>
      </c>
      <c r="E1584" s="779" t="s">
        <v>3227</v>
      </c>
      <c r="F1584" s="371" t="s">
        <v>5183</v>
      </c>
      <c r="G1584" s="212"/>
      <c r="H1584" s="356">
        <v>349302</v>
      </c>
      <c r="I1584" s="356"/>
      <c r="J1584" s="6"/>
      <c r="K1584" s="6">
        <v>2000</v>
      </c>
      <c r="L1584" s="6"/>
      <c r="M1584" s="187">
        <f t="shared" si="135"/>
        <v>2000</v>
      </c>
      <c r="N1584" s="475">
        <f>M1584+H1584</f>
        <v>351302</v>
      </c>
      <c r="O1584" s="1178"/>
      <c r="P1584" s="1138" t="s">
        <v>102</v>
      </c>
      <c r="Q1584" s="356">
        <v>2000</v>
      </c>
      <c r="R1584" s="356">
        <v>2000</v>
      </c>
      <c r="S1584" s="873"/>
      <c r="T1584" s="873"/>
      <c r="U1584" s="873"/>
      <c r="V1584" s="32" t="s">
        <v>871</v>
      </c>
      <c r="W1584" s="31" t="s">
        <v>1170</v>
      </c>
      <c r="X1584" s="16">
        <f t="shared" si="131"/>
        <v>2000</v>
      </c>
      <c r="Y1584" s="16">
        <f t="shared" si="132"/>
        <v>0</v>
      </c>
    </row>
    <row r="1585" spans="2:25" s="31" customFormat="1" ht="30">
      <c r="B1585" s="550" t="s">
        <v>546</v>
      </c>
      <c r="C1585" s="1137" t="s">
        <v>1173</v>
      </c>
      <c r="D1585" s="13">
        <v>40899</v>
      </c>
      <c r="E1585" s="779" t="s">
        <v>5185</v>
      </c>
      <c r="F1585" s="371" t="s">
        <v>5184</v>
      </c>
      <c r="G1585" s="212"/>
      <c r="H1585" s="356">
        <v>67234</v>
      </c>
      <c r="I1585" s="356"/>
      <c r="J1585" s="6"/>
      <c r="K1585" s="6">
        <v>1000</v>
      </c>
      <c r="L1585" s="6"/>
      <c r="M1585" s="187">
        <f t="shared" si="135"/>
        <v>1000</v>
      </c>
      <c r="N1585" s="1179">
        <f>M1585+H1585</f>
        <v>68234</v>
      </c>
      <c r="O1585" s="32"/>
      <c r="P1585" s="1138" t="s">
        <v>102</v>
      </c>
      <c r="Q1585" s="356"/>
      <c r="R1585" s="356"/>
      <c r="S1585" s="407"/>
      <c r="T1585" s="407"/>
      <c r="U1585" s="407"/>
      <c r="V1585" s="32"/>
      <c r="W1585" s="31" t="s">
        <v>1172</v>
      </c>
      <c r="X1585" s="16">
        <f t="shared" si="131"/>
        <v>1000</v>
      </c>
      <c r="Y1585" s="16">
        <f t="shared" si="132"/>
        <v>0</v>
      </c>
    </row>
    <row r="1586" spans="2:25" s="31" customFormat="1" ht="15">
      <c r="B1586" s="550"/>
      <c r="C1586" s="1137"/>
      <c r="D1586" s="13"/>
      <c r="E1586" s="779"/>
      <c r="F1586" s="371"/>
      <c r="G1586" s="212"/>
      <c r="H1586" s="691"/>
      <c r="I1586" s="691"/>
      <c r="J1586" s="6"/>
      <c r="K1586" s="10"/>
      <c r="L1586" s="6"/>
      <c r="M1586" s="14"/>
      <c r="O1586" s="32"/>
      <c r="P1586" s="32"/>
      <c r="Q1586" s="356"/>
      <c r="R1586" s="356"/>
      <c r="S1586" s="407"/>
      <c r="T1586" s="407"/>
      <c r="U1586" s="407"/>
      <c r="V1586" s="32" t="s">
        <v>871</v>
      </c>
      <c r="X1586" s="16">
        <f t="shared" si="131"/>
        <v>0</v>
      </c>
      <c r="Y1586" s="16">
        <f t="shared" si="132"/>
        <v>0</v>
      </c>
    </row>
    <row r="1587" spans="2:25" s="31" customFormat="1" ht="45">
      <c r="B1587" s="550" t="s">
        <v>546</v>
      </c>
      <c r="C1587" s="1137" t="s">
        <v>1175</v>
      </c>
      <c r="D1587" s="13">
        <v>40899</v>
      </c>
      <c r="E1587" s="779" t="s">
        <v>3076</v>
      </c>
      <c r="F1587" s="371" t="s">
        <v>5186</v>
      </c>
      <c r="G1587" s="212"/>
      <c r="H1587" s="631"/>
      <c r="I1587" s="631"/>
      <c r="J1587" s="6"/>
      <c r="K1587" s="10">
        <v>1000</v>
      </c>
      <c r="L1587" s="6"/>
      <c r="M1587" s="14">
        <f t="shared" si="135"/>
        <v>1000</v>
      </c>
      <c r="O1587" s="32"/>
      <c r="P1587" s="1138" t="s">
        <v>102</v>
      </c>
      <c r="Q1587" s="216">
        <v>1000</v>
      </c>
      <c r="R1587" s="216">
        <v>1000</v>
      </c>
      <c r="S1587" s="407" t="s">
        <v>4738</v>
      </c>
      <c r="T1587" s="407"/>
      <c r="U1587" s="407"/>
      <c r="V1587" s="32" t="s">
        <v>871</v>
      </c>
      <c r="W1587" s="31" t="s">
        <v>1174</v>
      </c>
      <c r="X1587" s="16">
        <f t="shared" si="131"/>
        <v>1000</v>
      </c>
      <c r="Y1587" s="16">
        <f t="shared" si="132"/>
        <v>0</v>
      </c>
    </row>
    <row r="1588" spans="2:25" s="31" customFormat="1" ht="45">
      <c r="B1588" s="550" t="s">
        <v>546</v>
      </c>
      <c r="C1588" s="1137" t="s">
        <v>1176</v>
      </c>
      <c r="D1588" s="13">
        <v>40849</v>
      </c>
      <c r="E1588" s="779" t="s">
        <v>3076</v>
      </c>
      <c r="F1588" s="371" t="s">
        <v>5186</v>
      </c>
      <c r="G1588" s="212"/>
      <c r="H1588" s="631"/>
      <c r="I1588" s="631"/>
      <c r="J1588" s="14"/>
      <c r="K1588" s="10">
        <v>200</v>
      </c>
      <c r="L1588" s="14"/>
      <c r="M1588" s="14">
        <f>SUM(J1588:L1588)</f>
        <v>200</v>
      </c>
      <c r="O1588" s="32"/>
      <c r="P1588" s="1138" t="s">
        <v>102</v>
      </c>
      <c r="Q1588" s="216">
        <v>200</v>
      </c>
      <c r="R1588" s="216">
        <v>200</v>
      </c>
      <c r="S1588" s="407" t="s">
        <v>4739</v>
      </c>
      <c r="T1588" s="407"/>
      <c r="U1588" s="407"/>
      <c r="V1588" s="32"/>
      <c r="W1588" s="31" t="s">
        <v>1174</v>
      </c>
      <c r="X1588" s="16">
        <f t="shared" si="131"/>
        <v>200</v>
      </c>
      <c r="Y1588" s="16">
        <f t="shared" si="132"/>
        <v>0</v>
      </c>
    </row>
    <row r="1589" spans="2:25" s="31" customFormat="1" ht="15">
      <c r="B1589" s="550"/>
      <c r="C1589" s="1137"/>
      <c r="D1589" s="13"/>
      <c r="E1589" s="779"/>
      <c r="F1589" s="371"/>
      <c r="G1589" s="212"/>
      <c r="H1589" s="1177"/>
      <c r="I1589" s="1177"/>
      <c r="J1589" s="14"/>
      <c r="K1589" s="10"/>
      <c r="L1589" s="14"/>
      <c r="M1589" s="14"/>
      <c r="O1589" s="32"/>
      <c r="P1589" s="32"/>
      <c r="Q1589" s="216"/>
      <c r="R1589" s="216"/>
      <c r="S1589" s="407"/>
      <c r="T1589" s="407"/>
      <c r="U1589" s="407"/>
      <c r="V1589" s="32" t="s">
        <v>871</v>
      </c>
      <c r="X1589" s="16">
        <f t="shared" si="131"/>
        <v>0</v>
      </c>
      <c r="Y1589" s="16">
        <f t="shared" si="132"/>
        <v>0</v>
      </c>
    </row>
    <row r="1590" spans="2:25" s="31" customFormat="1" ht="45">
      <c r="B1590" s="550" t="s">
        <v>546</v>
      </c>
      <c r="C1590" s="1137" t="s">
        <v>1177</v>
      </c>
      <c r="D1590" s="13">
        <v>40849</v>
      </c>
      <c r="E1590" s="779" t="s">
        <v>3088</v>
      </c>
      <c r="F1590" s="371" t="s">
        <v>5187</v>
      </c>
      <c r="G1590" s="212"/>
      <c r="H1590" s="631"/>
      <c r="I1590" s="631"/>
      <c r="J1590" s="14"/>
      <c r="K1590" s="10">
        <v>200</v>
      </c>
      <c r="L1590" s="14"/>
      <c r="M1590" s="14">
        <f>SUM(J1590:L1590)</f>
        <v>200</v>
      </c>
      <c r="O1590" s="32"/>
      <c r="P1590" s="1138" t="s">
        <v>102</v>
      </c>
      <c r="Q1590" s="216">
        <v>200</v>
      </c>
      <c r="R1590" s="216">
        <v>200</v>
      </c>
      <c r="S1590" s="407"/>
      <c r="T1590" s="407"/>
      <c r="U1590" s="407"/>
      <c r="V1590" s="32" t="s">
        <v>871</v>
      </c>
      <c r="W1590" s="31" t="s">
        <v>1174</v>
      </c>
      <c r="X1590" s="16">
        <f t="shared" si="131"/>
        <v>200</v>
      </c>
      <c r="Y1590" s="16">
        <f t="shared" si="132"/>
        <v>0</v>
      </c>
    </row>
    <row r="1591" spans="2:25" s="31" customFormat="1" ht="45">
      <c r="B1591" s="550" t="s">
        <v>546</v>
      </c>
      <c r="C1591" s="1126" t="s">
        <v>1178</v>
      </c>
      <c r="D1591" s="361">
        <v>40890</v>
      </c>
      <c r="E1591" s="779" t="s">
        <v>3088</v>
      </c>
      <c r="F1591" s="212" t="s">
        <v>5187</v>
      </c>
      <c r="G1591" s="212"/>
      <c r="H1591" s="631"/>
      <c r="I1591" s="631"/>
      <c r="J1591" s="6"/>
      <c r="K1591" s="10">
        <v>1000</v>
      </c>
      <c r="L1591" s="6"/>
      <c r="M1591" s="14">
        <f>SUM(J1591:L1591)</f>
        <v>1000</v>
      </c>
      <c r="O1591" s="32"/>
      <c r="P1591" s="1138" t="s">
        <v>102</v>
      </c>
      <c r="Q1591" s="216" t="s">
        <v>4740</v>
      </c>
      <c r="R1591" s="216"/>
      <c r="S1591" s="407"/>
      <c r="T1591" s="407"/>
      <c r="U1591" s="407"/>
      <c r="V1591" s="32"/>
      <c r="W1591" s="31" t="s">
        <v>1174</v>
      </c>
      <c r="X1591" s="16">
        <f t="shared" si="131"/>
        <v>1000</v>
      </c>
      <c r="Y1591" s="16">
        <f t="shared" si="132"/>
        <v>0</v>
      </c>
    </row>
    <row r="1592" spans="2:25" s="31" customFormat="1" ht="15">
      <c r="B1592" s="550"/>
      <c r="C1592" s="1126"/>
      <c r="D1592" s="361"/>
      <c r="E1592" s="779"/>
      <c r="F1592" s="212"/>
      <c r="G1592" s="212"/>
      <c r="H1592" s="631"/>
      <c r="I1592" s="631"/>
      <c r="J1592" s="6"/>
      <c r="K1592" s="10"/>
      <c r="L1592" s="6"/>
      <c r="M1592" s="14"/>
      <c r="O1592" s="32"/>
      <c r="P1592" s="32"/>
      <c r="Q1592" s="356"/>
      <c r="R1592" s="356"/>
      <c r="S1592" s="407"/>
      <c r="T1592" s="407"/>
      <c r="U1592" s="407"/>
      <c r="V1592" s="32" t="s">
        <v>871</v>
      </c>
      <c r="X1592" s="16">
        <f t="shared" si="131"/>
        <v>0</v>
      </c>
      <c r="Y1592" s="16">
        <f t="shared" si="132"/>
        <v>0</v>
      </c>
    </row>
    <row r="1593" spans="2:25" s="31" customFormat="1" ht="30">
      <c r="B1593" s="550" t="s">
        <v>546</v>
      </c>
      <c r="C1593" s="1137" t="s">
        <v>1179</v>
      </c>
      <c r="D1593" s="13">
        <v>40899</v>
      </c>
      <c r="E1593" s="779" t="s">
        <v>5189</v>
      </c>
      <c r="F1593" s="371" t="s">
        <v>5188</v>
      </c>
      <c r="G1593" s="212"/>
      <c r="H1593" s="631"/>
      <c r="I1593" s="631"/>
      <c r="J1593" s="6"/>
      <c r="K1593" s="10">
        <v>1200</v>
      </c>
      <c r="L1593" s="6"/>
      <c r="M1593" s="14">
        <f t="shared" si="135"/>
        <v>1200</v>
      </c>
      <c r="O1593" s="32"/>
      <c r="P1593" s="1138" t="s">
        <v>102</v>
      </c>
      <c r="Q1593" s="356"/>
      <c r="R1593" s="356"/>
      <c r="S1593" s="407"/>
      <c r="T1593" s="407"/>
      <c r="U1593" s="407"/>
      <c r="V1593" s="32" t="s">
        <v>871</v>
      </c>
      <c r="W1593" s="31" t="s">
        <v>872</v>
      </c>
      <c r="X1593" s="16">
        <f t="shared" si="131"/>
        <v>1200</v>
      </c>
      <c r="Y1593" s="16">
        <f t="shared" si="132"/>
        <v>0</v>
      </c>
    </row>
    <row r="1594" spans="2:25" s="31" customFormat="1" ht="30">
      <c r="B1594" s="550" t="s">
        <v>546</v>
      </c>
      <c r="C1594" s="1126" t="s">
        <v>1180</v>
      </c>
      <c r="D1594" s="361">
        <v>40886</v>
      </c>
      <c r="E1594" s="779" t="s">
        <v>5189</v>
      </c>
      <c r="F1594" s="371" t="s">
        <v>5190</v>
      </c>
      <c r="G1594" s="371"/>
      <c r="H1594" s="631"/>
      <c r="I1594" s="631"/>
      <c r="J1594" s="6"/>
      <c r="K1594" s="10">
        <v>1000</v>
      </c>
      <c r="L1594" s="6"/>
      <c r="M1594" s="14">
        <f>SUM(J1594:L1594)</f>
        <v>1000</v>
      </c>
      <c r="O1594" s="32"/>
      <c r="P1594" s="1138" t="s">
        <v>102</v>
      </c>
      <c r="Q1594" s="356">
        <v>999.98599999999999</v>
      </c>
      <c r="R1594" s="356"/>
      <c r="S1594" s="407"/>
      <c r="T1594" s="407"/>
      <c r="U1594" s="407"/>
      <c r="V1594" s="32" t="s">
        <v>871</v>
      </c>
      <c r="W1594" s="31" t="s">
        <v>872</v>
      </c>
      <c r="X1594" s="16">
        <f t="shared" si="131"/>
        <v>1000</v>
      </c>
      <c r="Y1594" s="16">
        <f t="shared" si="132"/>
        <v>0</v>
      </c>
    </row>
    <row r="1595" spans="2:25" s="31" customFormat="1" ht="30">
      <c r="B1595" s="550" t="s">
        <v>546</v>
      </c>
      <c r="C1595" s="1137" t="s">
        <v>1181</v>
      </c>
      <c r="D1595" s="13">
        <v>40849</v>
      </c>
      <c r="E1595" s="779" t="s">
        <v>5189</v>
      </c>
      <c r="F1595" s="371" t="s">
        <v>5191</v>
      </c>
      <c r="G1595" s="212"/>
      <c r="H1595" s="631"/>
      <c r="I1595" s="631"/>
      <c r="J1595" s="14"/>
      <c r="K1595" s="10">
        <v>250</v>
      </c>
      <c r="L1595" s="14"/>
      <c r="M1595" s="14">
        <f>SUM(J1595:L1595)</f>
        <v>250</v>
      </c>
      <c r="O1595" s="32"/>
      <c r="P1595" s="1138" t="s">
        <v>102</v>
      </c>
      <c r="Q1595" s="356"/>
      <c r="R1595" s="356"/>
      <c r="S1595" s="407"/>
      <c r="T1595" s="407"/>
      <c r="U1595" s="407"/>
      <c r="V1595" s="32" t="s">
        <v>871</v>
      </c>
      <c r="W1595" s="31" t="s">
        <v>872</v>
      </c>
      <c r="X1595" s="16">
        <f t="shared" si="131"/>
        <v>250</v>
      </c>
      <c r="Y1595" s="16">
        <f t="shared" si="132"/>
        <v>0</v>
      </c>
    </row>
    <row r="1596" spans="2:25" s="31" customFormat="1" ht="30">
      <c r="B1596" s="550" t="s">
        <v>546</v>
      </c>
      <c r="C1596" s="1137" t="s">
        <v>1182</v>
      </c>
      <c r="D1596" s="13">
        <v>40849</v>
      </c>
      <c r="E1596" s="779" t="s">
        <v>5189</v>
      </c>
      <c r="F1596" s="371" t="s">
        <v>5188</v>
      </c>
      <c r="G1596" s="212"/>
      <c r="H1596" s="631"/>
      <c r="I1596" s="631"/>
      <c r="J1596" s="14"/>
      <c r="K1596" s="10">
        <v>600</v>
      </c>
      <c r="L1596" s="14"/>
      <c r="M1596" s="14">
        <f>SUM(J1596:L1596)</f>
        <v>600</v>
      </c>
      <c r="O1596" s="32"/>
      <c r="P1596" s="1138" t="s">
        <v>102</v>
      </c>
      <c r="Q1596" s="356"/>
      <c r="R1596" s="356"/>
      <c r="S1596" s="407"/>
      <c r="T1596" s="407"/>
      <c r="U1596" s="407"/>
      <c r="V1596" s="32"/>
      <c r="W1596" s="31" t="s">
        <v>872</v>
      </c>
      <c r="X1596" s="16">
        <f t="shared" si="131"/>
        <v>600</v>
      </c>
      <c r="Y1596" s="16">
        <f t="shared" si="132"/>
        <v>0</v>
      </c>
    </row>
    <row r="1597" spans="2:25" s="31" customFormat="1" ht="15">
      <c r="B1597" s="550"/>
      <c r="C1597" s="1137"/>
      <c r="D1597" s="13"/>
      <c r="E1597" s="779"/>
      <c r="F1597" s="460"/>
      <c r="G1597" s="212"/>
      <c r="H1597" s="1177"/>
      <c r="I1597" s="1177"/>
      <c r="J1597" s="14"/>
      <c r="K1597" s="10"/>
      <c r="L1597" s="14"/>
      <c r="M1597" s="14"/>
      <c r="O1597" s="32"/>
      <c r="P1597" s="32"/>
      <c r="Q1597" s="356"/>
      <c r="R1597" s="356"/>
      <c r="S1597" s="407"/>
      <c r="T1597" s="407"/>
      <c r="U1597" s="407"/>
      <c r="V1597" s="32"/>
      <c r="X1597" s="16">
        <f t="shared" si="131"/>
        <v>0</v>
      </c>
      <c r="Y1597" s="16">
        <f t="shared" si="132"/>
        <v>0</v>
      </c>
    </row>
    <row r="1598" spans="2:25" s="31" customFormat="1" ht="15">
      <c r="B1598" s="550"/>
      <c r="C1598" s="1137"/>
      <c r="D1598" s="13"/>
      <c r="E1598" s="779"/>
      <c r="F1598" s="460"/>
      <c r="G1598" s="212"/>
      <c r="H1598" s="1177"/>
      <c r="I1598" s="1177"/>
      <c r="J1598" s="14"/>
      <c r="K1598" s="10"/>
      <c r="L1598" s="14"/>
      <c r="M1598" s="14"/>
      <c r="O1598" s="32"/>
      <c r="P1598" s="32"/>
      <c r="Q1598" s="356"/>
      <c r="R1598" s="356"/>
      <c r="S1598" s="407"/>
      <c r="T1598" s="407"/>
      <c r="U1598" s="407"/>
      <c r="V1598" s="32" t="s">
        <v>871</v>
      </c>
      <c r="X1598" s="16">
        <f t="shared" si="131"/>
        <v>0</v>
      </c>
      <c r="Y1598" s="16">
        <f t="shared" si="132"/>
        <v>0</v>
      </c>
    </row>
    <row r="1599" spans="2:25" s="31" customFormat="1" ht="30">
      <c r="B1599" s="550" t="s">
        <v>546</v>
      </c>
      <c r="C1599" s="1137" t="s">
        <v>1183</v>
      </c>
      <c r="D1599" s="13">
        <v>40899</v>
      </c>
      <c r="E1599" s="779" t="s">
        <v>5192</v>
      </c>
      <c r="F1599" s="371" t="s">
        <v>5193</v>
      </c>
      <c r="G1599" s="212"/>
      <c r="H1599" s="356">
        <v>557419</v>
      </c>
      <c r="I1599" s="356"/>
      <c r="J1599" s="6"/>
      <c r="K1599" s="6">
        <v>200</v>
      </c>
      <c r="L1599" s="6"/>
      <c r="M1599" s="187">
        <f t="shared" si="135"/>
        <v>200</v>
      </c>
      <c r="O1599" s="32"/>
      <c r="P1599" s="1138" t="s">
        <v>102</v>
      </c>
      <c r="Q1599" s="356"/>
      <c r="R1599" s="356"/>
      <c r="S1599" s="407"/>
      <c r="T1599" s="407"/>
      <c r="U1599" s="407"/>
      <c r="V1599" s="32"/>
      <c r="W1599" s="31" t="s">
        <v>1172</v>
      </c>
      <c r="X1599" s="16">
        <f t="shared" si="131"/>
        <v>200</v>
      </c>
      <c r="Y1599" s="16">
        <f t="shared" si="132"/>
        <v>0</v>
      </c>
    </row>
    <row r="1600" spans="2:25" s="31" customFormat="1" ht="15">
      <c r="B1600" s="550"/>
      <c r="C1600" s="1137"/>
      <c r="D1600" s="13"/>
      <c r="E1600" s="779"/>
      <c r="F1600" s="371"/>
      <c r="G1600" s="212"/>
      <c r="H1600" s="691"/>
      <c r="I1600" s="691"/>
      <c r="J1600" s="6"/>
      <c r="K1600" s="10"/>
      <c r="L1600" s="6"/>
      <c r="M1600" s="14"/>
      <c r="O1600" s="32"/>
      <c r="P1600" s="32"/>
      <c r="Q1600" s="356"/>
      <c r="R1600" s="356"/>
      <c r="S1600" s="407"/>
      <c r="T1600" s="407"/>
      <c r="U1600" s="407"/>
      <c r="V1600" s="32" t="s">
        <v>871</v>
      </c>
      <c r="X1600" s="16">
        <f t="shared" si="131"/>
        <v>0</v>
      </c>
      <c r="Y1600" s="16">
        <f t="shared" si="132"/>
        <v>0</v>
      </c>
    </row>
    <row r="1601" spans="2:25" s="31" customFormat="1" ht="30">
      <c r="B1601" s="550" t="s">
        <v>546</v>
      </c>
      <c r="C1601" s="1137" t="s">
        <v>1184</v>
      </c>
      <c r="D1601" s="13">
        <v>40899</v>
      </c>
      <c r="E1601" s="779" t="s">
        <v>5195</v>
      </c>
      <c r="F1601" s="371" t="s">
        <v>5194</v>
      </c>
      <c r="G1601" s="212"/>
      <c r="H1601" s="631"/>
      <c r="I1601" s="631"/>
      <c r="J1601" s="6"/>
      <c r="K1601" s="10">
        <v>100</v>
      </c>
      <c r="L1601" s="6"/>
      <c r="M1601" s="14">
        <f t="shared" si="135"/>
        <v>100</v>
      </c>
      <c r="O1601" s="32"/>
      <c r="P1601" s="1138" t="s">
        <v>102</v>
      </c>
      <c r="Q1601" s="356"/>
      <c r="R1601" s="356"/>
      <c r="S1601" s="407"/>
      <c r="T1601" s="407"/>
      <c r="U1601" s="407"/>
      <c r="V1601" s="32" t="s">
        <v>198</v>
      </c>
      <c r="W1601" s="31" t="s">
        <v>1172</v>
      </c>
      <c r="X1601" s="16">
        <f t="shared" si="131"/>
        <v>100</v>
      </c>
      <c r="Y1601" s="16">
        <f t="shared" si="132"/>
        <v>0</v>
      </c>
    </row>
    <row r="1602" spans="2:25" s="31" customFormat="1" ht="30">
      <c r="B1602" s="72" t="s">
        <v>1186</v>
      </c>
      <c r="C1602" s="182" t="s">
        <v>1187</v>
      </c>
      <c r="D1602" s="419">
        <v>40939</v>
      </c>
      <c r="E1602" s="182" t="s">
        <v>5195</v>
      </c>
      <c r="F1602" s="72" t="s">
        <v>5194</v>
      </c>
      <c r="G1602" s="72"/>
      <c r="H1602" s="631"/>
      <c r="I1602" s="631"/>
      <c r="K1602" s="203">
        <v>500</v>
      </c>
      <c r="L1602" s="203"/>
      <c r="M1602" s="203">
        <f>SUM(K1602:L1602)</f>
        <v>500</v>
      </c>
      <c r="O1602" s="32"/>
      <c r="P1602" s="1138" t="s">
        <v>102</v>
      </c>
      <c r="Q1602" s="356"/>
      <c r="R1602" s="356"/>
      <c r="S1602" s="407"/>
      <c r="T1602" s="407"/>
      <c r="U1602" s="407"/>
      <c r="V1602" s="32" t="s">
        <v>871</v>
      </c>
      <c r="W1602" s="31" t="s">
        <v>1185</v>
      </c>
      <c r="X1602" s="16">
        <f t="shared" si="131"/>
        <v>500</v>
      </c>
      <c r="Y1602" s="16">
        <f t="shared" si="132"/>
        <v>0</v>
      </c>
    </row>
    <row r="1603" spans="2:25" s="31" customFormat="1" ht="30">
      <c r="B1603" s="550" t="s">
        <v>546</v>
      </c>
      <c r="C1603" s="1137" t="s">
        <v>1188</v>
      </c>
      <c r="D1603" s="13">
        <v>40849</v>
      </c>
      <c r="E1603" s="779" t="s">
        <v>5195</v>
      </c>
      <c r="F1603" s="371" t="s">
        <v>5194</v>
      </c>
      <c r="G1603" s="212"/>
      <c r="H1603" s="631"/>
      <c r="I1603" s="631"/>
      <c r="J1603" s="14"/>
      <c r="K1603" s="10">
        <v>250</v>
      </c>
      <c r="L1603" s="14"/>
      <c r="M1603" s="14">
        <f>SUM(J1603:L1603)</f>
        <v>250</v>
      </c>
      <c r="O1603" s="32"/>
      <c r="P1603" s="1138" t="s">
        <v>102</v>
      </c>
      <c r="Q1603" s="356"/>
      <c r="R1603" s="356"/>
      <c r="S1603" s="407"/>
      <c r="T1603" s="407"/>
      <c r="U1603" s="407"/>
      <c r="V1603" s="32"/>
      <c r="W1603" s="31" t="s">
        <v>1172</v>
      </c>
      <c r="X1603" s="16">
        <f t="shared" si="131"/>
        <v>250</v>
      </c>
      <c r="Y1603" s="16">
        <f t="shared" si="132"/>
        <v>0</v>
      </c>
    </row>
    <row r="1604" spans="2:25" s="31" customFormat="1" ht="15">
      <c r="B1604" s="550"/>
      <c r="C1604" s="1137"/>
      <c r="D1604" s="13"/>
      <c r="E1604" s="779"/>
      <c r="F1604" s="371"/>
      <c r="G1604" s="212"/>
      <c r="H1604" s="1177"/>
      <c r="I1604" s="1177"/>
      <c r="J1604" s="14"/>
      <c r="K1604" s="10"/>
      <c r="L1604" s="14"/>
      <c r="M1604" s="14"/>
      <c r="O1604" s="32"/>
      <c r="P1604" s="32"/>
      <c r="Q1604" s="356"/>
      <c r="R1604" s="356"/>
      <c r="S1604" s="407"/>
      <c r="T1604" s="407"/>
      <c r="U1604" s="407"/>
      <c r="V1604" s="32"/>
      <c r="X1604" s="16">
        <f t="shared" si="131"/>
        <v>0</v>
      </c>
      <c r="Y1604" s="16">
        <f t="shared" si="132"/>
        <v>0</v>
      </c>
    </row>
    <row r="1605" spans="2:25" s="31" customFormat="1" ht="15">
      <c r="B1605" s="550"/>
      <c r="C1605" s="1137"/>
      <c r="D1605" s="13"/>
      <c r="E1605" s="779"/>
      <c r="F1605" s="371"/>
      <c r="G1605" s="212"/>
      <c r="H1605" s="1177"/>
      <c r="I1605" s="1177"/>
      <c r="J1605" s="14"/>
      <c r="K1605" s="10"/>
      <c r="L1605" s="14"/>
      <c r="M1605" s="14"/>
      <c r="O1605" s="1178"/>
      <c r="P1605" s="32"/>
      <c r="Q1605" s="356"/>
      <c r="R1605" s="356"/>
      <c r="S1605" s="873"/>
      <c r="T1605" s="873"/>
      <c r="U1605" s="873"/>
      <c r="V1605" s="32" t="s">
        <v>871</v>
      </c>
      <c r="X1605" s="16">
        <f t="shared" si="131"/>
        <v>0</v>
      </c>
      <c r="Y1605" s="16">
        <f t="shared" si="132"/>
        <v>0</v>
      </c>
    </row>
    <row r="1606" spans="2:25" s="31" customFormat="1" ht="30">
      <c r="B1606" s="550" t="s">
        <v>546</v>
      </c>
      <c r="C1606" s="1137" t="s">
        <v>1189</v>
      </c>
      <c r="D1606" s="13">
        <v>40899</v>
      </c>
      <c r="E1606" s="779" t="s">
        <v>5196</v>
      </c>
      <c r="F1606" s="371" t="s">
        <v>5197</v>
      </c>
      <c r="G1606" s="212"/>
      <c r="H1606" s="356">
        <v>325889</v>
      </c>
      <c r="I1606" s="356"/>
      <c r="J1606" s="6"/>
      <c r="K1606" s="6">
        <v>100</v>
      </c>
      <c r="L1606" s="6"/>
      <c r="M1606" s="187">
        <f t="shared" si="135"/>
        <v>100</v>
      </c>
      <c r="N1606" s="1179">
        <f>M1606+H1606</f>
        <v>325989</v>
      </c>
      <c r="O1606" s="32"/>
      <c r="P1606" s="1138" t="s">
        <v>102</v>
      </c>
      <c r="Q1606" s="356"/>
      <c r="R1606" s="356"/>
      <c r="S1606" s="407"/>
      <c r="T1606" s="407"/>
      <c r="U1606" s="407"/>
      <c r="V1606" s="32"/>
      <c r="W1606" s="31" t="s">
        <v>872</v>
      </c>
      <c r="X1606" s="16">
        <f t="shared" si="131"/>
        <v>100</v>
      </c>
      <c r="Y1606" s="16">
        <f t="shared" si="132"/>
        <v>0</v>
      </c>
    </row>
    <row r="1607" spans="2:25" s="31" customFormat="1" ht="15">
      <c r="B1607" s="550"/>
      <c r="C1607" s="1137"/>
      <c r="D1607" s="13"/>
      <c r="E1607" s="779"/>
      <c r="F1607" s="371"/>
      <c r="G1607" s="212"/>
      <c r="H1607" s="691"/>
      <c r="I1607" s="691"/>
      <c r="J1607" s="6"/>
      <c r="K1607" s="10"/>
      <c r="L1607" s="6"/>
      <c r="M1607" s="14"/>
      <c r="O1607" s="32"/>
      <c r="P1607" s="1138"/>
      <c r="Q1607" s="356"/>
      <c r="R1607" s="356"/>
      <c r="S1607" s="407"/>
      <c r="T1607" s="407"/>
      <c r="U1607" s="407"/>
      <c r="V1607" s="32" t="s">
        <v>871</v>
      </c>
      <c r="X1607" s="16">
        <f t="shared" si="131"/>
        <v>0</v>
      </c>
      <c r="Y1607" s="16">
        <f t="shared" si="132"/>
        <v>0</v>
      </c>
    </row>
    <row r="1608" spans="2:25" s="31" customFormat="1" ht="30">
      <c r="B1608" s="550" t="s">
        <v>546</v>
      </c>
      <c r="C1608" s="1137" t="s">
        <v>1190</v>
      </c>
      <c r="D1608" s="13">
        <v>40899</v>
      </c>
      <c r="E1608" s="779" t="s">
        <v>3201</v>
      </c>
      <c r="F1608" s="371" t="s">
        <v>5198</v>
      </c>
      <c r="G1608" s="212"/>
      <c r="H1608" s="691"/>
      <c r="I1608" s="691"/>
      <c r="J1608" s="6"/>
      <c r="K1608" s="10">
        <v>800</v>
      </c>
      <c r="L1608" s="6"/>
      <c r="M1608" s="14">
        <f t="shared" si="135"/>
        <v>800</v>
      </c>
      <c r="O1608" s="32"/>
      <c r="P1608" s="1138" t="s">
        <v>102</v>
      </c>
      <c r="Q1608" s="356"/>
      <c r="R1608" s="356"/>
      <c r="S1608" s="407"/>
      <c r="T1608" s="407"/>
      <c r="U1608" s="407"/>
      <c r="V1608" s="32" t="s">
        <v>871</v>
      </c>
      <c r="W1608" s="31" t="s">
        <v>1172</v>
      </c>
      <c r="X1608" s="16">
        <f t="shared" si="131"/>
        <v>800</v>
      </c>
      <c r="Y1608" s="16">
        <f t="shared" si="132"/>
        <v>0</v>
      </c>
    </row>
    <row r="1609" spans="2:25" s="31" customFormat="1" ht="30">
      <c r="B1609" s="550" t="s">
        <v>546</v>
      </c>
      <c r="C1609" s="1137" t="s">
        <v>1191</v>
      </c>
      <c r="D1609" s="13">
        <v>40849</v>
      </c>
      <c r="E1609" s="779" t="s">
        <v>3201</v>
      </c>
      <c r="F1609" s="371" t="s">
        <v>5198</v>
      </c>
      <c r="G1609" s="212"/>
      <c r="H1609" s="631"/>
      <c r="I1609" s="631"/>
      <c r="J1609" s="14"/>
      <c r="K1609" s="10">
        <v>200</v>
      </c>
      <c r="L1609" s="14"/>
      <c r="M1609" s="14">
        <f>SUM(J1609:L1609)</f>
        <v>200</v>
      </c>
      <c r="O1609" s="32"/>
      <c r="P1609" s="1138" t="s">
        <v>102</v>
      </c>
      <c r="Q1609" s="356"/>
      <c r="R1609" s="356"/>
      <c r="S1609" s="407"/>
      <c r="T1609" s="407"/>
      <c r="U1609" s="407"/>
      <c r="V1609" s="32" t="s">
        <v>871</v>
      </c>
      <c r="W1609" s="31" t="s">
        <v>1172</v>
      </c>
      <c r="X1609" s="16">
        <f t="shared" si="131"/>
        <v>200</v>
      </c>
      <c r="Y1609" s="16">
        <f t="shared" ref="Y1609:Y1640" si="136">X1609-M1609</f>
        <v>0</v>
      </c>
    </row>
    <row r="1610" spans="2:25" s="31" customFormat="1" ht="30">
      <c r="B1610" s="550" t="s">
        <v>546</v>
      </c>
      <c r="C1610" s="1137" t="s">
        <v>1192</v>
      </c>
      <c r="D1610" s="13">
        <v>40849</v>
      </c>
      <c r="E1610" s="779" t="s">
        <v>3201</v>
      </c>
      <c r="F1610" s="371" t="s">
        <v>5198</v>
      </c>
      <c r="G1610" s="212"/>
      <c r="H1610" s="631"/>
      <c r="I1610" s="631"/>
      <c r="J1610" s="14"/>
      <c r="K1610" s="10">
        <v>250</v>
      </c>
      <c r="L1610" s="14"/>
      <c r="M1610" s="14">
        <f>SUM(J1610:L1610)</f>
        <v>250</v>
      </c>
      <c r="O1610" s="32"/>
      <c r="P1610" s="1138" t="s">
        <v>102</v>
      </c>
      <c r="Q1610" s="356"/>
      <c r="R1610" s="356"/>
      <c r="S1610" s="407"/>
      <c r="T1610" s="407"/>
      <c r="U1610" s="407"/>
      <c r="V1610" s="32" t="s">
        <v>871</v>
      </c>
      <c r="W1610" s="31" t="s">
        <v>1172</v>
      </c>
      <c r="X1610" s="16">
        <f t="shared" si="131"/>
        <v>250</v>
      </c>
      <c r="Y1610" s="16">
        <f t="shared" si="136"/>
        <v>0</v>
      </c>
    </row>
    <row r="1611" spans="2:25" s="31" customFormat="1" ht="30">
      <c r="B1611" s="550" t="s">
        <v>546</v>
      </c>
      <c r="C1611" s="1137" t="s">
        <v>1193</v>
      </c>
      <c r="D1611" s="13">
        <v>40849</v>
      </c>
      <c r="E1611" s="779" t="s">
        <v>3201</v>
      </c>
      <c r="F1611" s="371" t="s">
        <v>5198</v>
      </c>
      <c r="G1611" s="212"/>
      <c r="H1611" s="631"/>
      <c r="I1611" s="631"/>
      <c r="J1611" s="14"/>
      <c r="K1611" s="10">
        <v>100</v>
      </c>
      <c r="L1611" s="14"/>
      <c r="M1611" s="14">
        <f>SUM(J1611:L1611)</f>
        <v>100</v>
      </c>
      <c r="O1611" s="32"/>
      <c r="P1611" s="1138" t="s">
        <v>102</v>
      </c>
      <c r="Q1611" s="356"/>
      <c r="R1611" s="356"/>
      <c r="S1611" s="407"/>
      <c r="T1611" s="407"/>
      <c r="U1611" s="407"/>
      <c r="V1611" s="32" t="s">
        <v>871</v>
      </c>
      <c r="W1611" s="31" t="s">
        <v>1172</v>
      </c>
      <c r="X1611" s="16">
        <f t="shared" si="131"/>
        <v>100</v>
      </c>
      <c r="Y1611" s="16">
        <f t="shared" si="136"/>
        <v>0</v>
      </c>
    </row>
    <row r="1612" spans="2:25" s="31" customFormat="1" ht="15">
      <c r="B1612" s="550" t="s">
        <v>546</v>
      </c>
      <c r="C1612" s="1126" t="s">
        <v>1180</v>
      </c>
      <c r="D1612" s="361">
        <v>40886</v>
      </c>
      <c r="E1612" s="779" t="s">
        <v>3201</v>
      </c>
      <c r="F1612" s="371" t="s">
        <v>5199</v>
      </c>
      <c r="G1612" s="371"/>
      <c r="H1612" s="631"/>
      <c r="I1612" s="631"/>
      <c r="J1612" s="6"/>
      <c r="K1612" s="10">
        <v>1000</v>
      </c>
      <c r="L1612" s="6"/>
      <c r="M1612" s="14">
        <f>SUM(J1612:L1612)</f>
        <v>1000</v>
      </c>
      <c r="O1612" s="32"/>
      <c r="P1612" s="1138" t="s">
        <v>102</v>
      </c>
      <c r="Q1612" s="356">
        <v>999.96</v>
      </c>
      <c r="R1612" s="356">
        <f>830.648+169.357</f>
        <v>1000.005</v>
      </c>
      <c r="S1612" s="407"/>
      <c r="T1612" s="407"/>
      <c r="U1612" s="407"/>
      <c r="V1612" s="32"/>
      <c r="W1612" s="31" t="s">
        <v>1172</v>
      </c>
      <c r="X1612" s="16">
        <f t="shared" si="131"/>
        <v>1000</v>
      </c>
      <c r="Y1612" s="16">
        <f t="shared" si="136"/>
        <v>0</v>
      </c>
    </row>
    <row r="1613" spans="2:25" s="31" customFormat="1" ht="15">
      <c r="B1613" s="550"/>
      <c r="C1613" s="1126"/>
      <c r="D1613" s="361"/>
      <c r="E1613" s="779"/>
      <c r="F1613" s="371"/>
      <c r="G1613" s="371"/>
      <c r="H1613" s="1177"/>
      <c r="I1613" s="1177"/>
      <c r="J1613" s="6"/>
      <c r="K1613" s="10"/>
      <c r="L1613" s="6"/>
      <c r="M1613" s="14"/>
      <c r="O1613" s="32"/>
      <c r="P1613" s="32"/>
      <c r="Q1613" s="356"/>
      <c r="R1613" s="356"/>
      <c r="S1613" s="407"/>
      <c r="T1613" s="407"/>
      <c r="U1613" s="407"/>
      <c r="V1613" s="32" t="s">
        <v>871</v>
      </c>
      <c r="X1613" s="16">
        <f t="shared" si="131"/>
        <v>0</v>
      </c>
      <c r="Y1613" s="16">
        <f t="shared" si="136"/>
        <v>0</v>
      </c>
    </row>
    <row r="1614" spans="2:25" s="31" customFormat="1" ht="30">
      <c r="B1614" s="550" t="s">
        <v>546</v>
      </c>
      <c r="C1614" s="1137" t="s">
        <v>1194</v>
      </c>
      <c r="D1614" s="13">
        <v>40899</v>
      </c>
      <c r="E1614" s="779" t="s">
        <v>3111</v>
      </c>
      <c r="F1614" s="371" t="s">
        <v>5200</v>
      </c>
      <c r="G1614" s="212"/>
      <c r="H1614" s="631"/>
      <c r="I1614" s="631"/>
      <c r="J1614" s="6"/>
      <c r="K1614" s="10">
        <v>100</v>
      </c>
      <c r="L1614" s="6"/>
      <c r="M1614" s="14">
        <f t="shared" si="135"/>
        <v>100</v>
      </c>
      <c r="O1614" s="32"/>
      <c r="P1614" s="1138" t="s">
        <v>102</v>
      </c>
      <c r="Q1614" s="356"/>
      <c r="R1614" s="356"/>
      <c r="S1614" s="407"/>
      <c r="T1614" s="407"/>
      <c r="U1614" s="407"/>
      <c r="V1614" s="32" t="s">
        <v>871</v>
      </c>
      <c r="W1614" s="31" t="s">
        <v>872</v>
      </c>
      <c r="X1614" s="16">
        <f t="shared" si="131"/>
        <v>100</v>
      </c>
      <c r="Y1614" s="16">
        <f t="shared" si="136"/>
        <v>0</v>
      </c>
    </row>
    <row r="1615" spans="2:25" s="31" customFormat="1" ht="15">
      <c r="B1615" s="550" t="s">
        <v>546</v>
      </c>
      <c r="C1615" s="1126" t="s">
        <v>1180</v>
      </c>
      <c r="D1615" s="361">
        <v>40886</v>
      </c>
      <c r="E1615" s="779" t="s">
        <v>3111</v>
      </c>
      <c r="F1615" s="371" t="s">
        <v>5201</v>
      </c>
      <c r="G1615" s="371"/>
      <c r="H1615" s="631"/>
      <c r="I1615" s="631"/>
      <c r="J1615" s="6"/>
      <c r="K1615" s="10">
        <v>1000</v>
      </c>
      <c r="L1615" s="6"/>
      <c r="M1615" s="14">
        <f>SUM(J1615:L1615)</f>
        <v>1000</v>
      </c>
      <c r="O1615" s="32"/>
      <c r="P1615" s="1138" t="s">
        <v>102</v>
      </c>
      <c r="Q1615" s="356"/>
      <c r="R1615" s="356"/>
      <c r="S1615" s="407"/>
      <c r="T1615" s="407"/>
      <c r="U1615" s="407"/>
      <c r="V1615" s="32" t="s">
        <v>871</v>
      </c>
      <c r="W1615" s="31" t="s">
        <v>872</v>
      </c>
      <c r="X1615" s="16">
        <f t="shared" si="131"/>
        <v>1000</v>
      </c>
      <c r="Y1615" s="16">
        <f t="shared" si="136"/>
        <v>0</v>
      </c>
    </row>
    <row r="1616" spans="2:25" s="31" customFormat="1" ht="30">
      <c r="B1616" s="550" t="s">
        <v>546</v>
      </c>
      <c r="C1616" s="1137" t="s">
        <v>1195</v>
      </c>
      <c r="D1616" s="13">
        <v>40849</v>
      </c>
      <c r="E1616" s="779" t="s">
        <v>3111</v>
      </c>
      <c r="F1616" s="371" t="s">
        <v>5200</v>
      </c>
      <c r="G1616" s="212"/>
      <c r="H1616" s="631"/>
      <c r="I1616" s="631"/>
      <c r="J1616" s="14"/>
      <c r="K1616" s="10">
        <v>450</v>
      </c>
      <c r="L1616" s="14"/>
      <c r="M1616" s="14">
        <f>SUM(J1616:L1616)</f>
        <v>450</v>
      </c>
      <c r="O1616" s="32"/>
      <c r="P1616" s="1138" t="s">
        <v>102</v>
      </c>
      <c r="Q1616" s="356"/>
      <c r="R1616" s="356"/>
      <c r="S1616" s="407"/>
      <c r="T1616" s="407"/>
      <c r="U1616" s="407"/>
      <c r="V1616" s="32" t="s">
        <v>871</v>
      </c>
      <c r="W1616" s="31" t="s">
        <v>872</v>
      </c>
      <c r="X1616" s="16">
        <f t="shared" si="131"/>
        <v>450</v>
      </c>
      <c r="Y1616" s="16">
        <f t="shared" si="136"/>
        <v>0</v>
      </c>
    </row>
    <row r="1617" spans="2:25" s="31" customFormat="1" ht="30">
      <c r="B1617" s="550" t="s">
        <v>546</v>
      </c>
      <c r="C1617" s="1137" t="s">
        <v>1196</v>
      </c>
      <c r="D1617" s="13">
        <v>40857</v>
      </c>
      <c r="E1617" s="779" t="s">
        <v>3111</v>
      </c>
      <c r="F1617" s="371" t="s">
        <v>5200</v>
      </c>
      <c r="G1617" s="212"/>
      <c r="H1617" s="631"/>
      <c r="I1617" s="631"/>
      <c r="J1617" s="14"/>
      <c r="K1617" s="10">
        <v>500</v>
      </c>
      <c r="L1617" s="14"/>
      <c r="M1617" s="14">
        <f>SUM(J1617:L1617)</f>
        <v>500</v>
      </c>
      <c r="O1617" s="32"/>
      <c r="P1617" s="1138" t="s">
        <v>102</v>
      </c>
      <c r="Q1617" s="356"/>
      <c r="R1617" s="356"/>
      <c r="S1617" s="407"/>
      <c r="T1617" s="407"/>
      <c r="U1617" s="407"/>
      <c r="V1617" s="32" t="s">
        <v>871</v>
      </c>
      <c r="W1617" s="31" t="s">
        <v>872</v>
      </c>
      <c r="X1617" s="16">
        <f t="shared" si="131"/>
        <v>500</v>
      </c>
      <c r="Y1617" s="16">
        <f t="shared" si="136"/>
        <v>0</v>
      </c>
    </row>
    <row r="1618" spans="2:25" s="31" customFormat="1" ht="30">
      <c r="B1618" s="550" t="s">
        <v>546</v>
      </c>
      <c r="C1618" s="1137" t="s">
        <v>1197</v>
      </c>
      <c r="D1618" s="13">
        <v>40858</v>
      </c>
      <c r="E1618" s="779" t="s">
        <v>3111</v>
      </c>
      <c r="F1618" s="371" t="s">
        <v>5200</v>
      </c>
      <c r="G1618" s="212"/>
      <c r="H1618" s="631"/>
      <c r="I1618" s="631"/>
      <c r="J1618" s="14"/>
      <c r="K1618" s="10">
        <v>200</v>
      </c>
      <c r="L1618" s="14"/>
      <c r="M1618" s="14">
        <f>SUM(J1618:L1618)</f>
        <v>200</v>
      </c>
      <c r="O1618" s="32"/>
      <c r="P1618" s="1138" t="s">
        <v>102</v>
      </c>
      <c r="Q1618" s="356"/>
      <c r="R1618" s="356"/>
      <c r="S1618" s="407"/>
      <c r="T1618" s="407"/>
      <c r="U1618" s="407"/>
      <c r="V1618" s="32" t="s">
        <v>198</v>
      </c>
      <c r="W1618" s="31" t="s">
        <v>872</v>
      </c>
      <c r="X1618" s="16">
        <f t="shared" si="131"/>
        <v>200</v>
      </c>
      <c r="Y1618" s="16">
        <f t="shared" si="136"/>
        <v>0</v>
      </c>
    </row>
    <row r="1619" spans="2:25" s="31" customFormat="1" ht="30">
      <c r="B1619" s="72" t="s">
        <v>1198</v>
      </c>
      <c r="C1619" s="182" t="s">
        <v>1199</v>
      </c>
      <c r="D1619" s="419">
        <v>40939</v>
      </c>
      <c r="E1619" s="182" t="s">
        <v>3111</v>
      </c>
      <c r="F1619" s="371" t="s">
        <v>5202</v>
      </c>
      <c r="G1619" s="72"/>
      <c r="H1619" s="631"/>
      <c r="I1619" s="631"/>
      <c r="K1619" s="203">
        <v>2000</v>
      </c>
      <c r="L1619" s="203"/>
      <c r="M1619" s="203">
        <f>SUM(K1619:L1619)</f>
        <v>2000</v>
      </c>
      <c r="O1619" s="32"/>
      <c r="P1619" s="1138" t="s">
        <v>102</v>
      </c>
      <c r="Q1619" s="356"/>
      <c r="R1619" s="356"/>
      <c r="S1619" s="407"/>
      <c r="T1619" s="407"/>
      <c r="U1619" s="407"/>
      <c r="V1619" s="32" t="s">
        <v>198</v>
      </c>
      <c r="W1619" s="31" t="s">
        <v>875</v>
      </c>
      <c r="X1619" s="16">
        <f t="shared" si="131"/>
        <v>2000</v>
      </c>
      <c r="Y1619" s="16">
        <f t="shared" si="136"/>
        <v>0</v>
      </c>
    </row>
    <row r="1620" spans="2:25" s="31" customFormat="1" ht="30">
      <c r="B1620" s="72" t="s">
        <v>1200</v>
      </c>
      <c r="C1620" s="182" t="s">
        <v>1201</v>
      </c>
      <c r="D1620" s="419">
        <v>41016</v>
      </c>
      <c r="E1620" s="182" t="s">
        <v>3111</v>
      </c>
      <c r="F1620" s="371" t="s">
        <v>5202</v>
      </c>
      <c r="G1620" s="72"/>
      <c r="H1620" s="631"/>
      <c r="I1620" s="631"/>
      <c r="K1620" s="203">
        <v>150</v>
      </c>
      <c r="L1620" s="203"/>
      <c r="M1620" s="203">
        <f>SUM(K1620:L1620)</f>
        <v>150</v>
      </c>
      <c r="O1620" s="32"/>
      <c r="P1620" s="1138" t="s">
        <v>102</v>
      </c>
      <c r="Q1620" s="356"/>
      <c r="R1620" s="356"/>
      <c r="S1620" s="407"/>
      <c r="T1620" s="407"/>
      <c r="U1620" s="407"/>
      <c r="V1620" s="32"/>
      <c r="W1620" s="31" t="s">
        <v>875</v>
      </c>
      <c r="X1620" s="16">
        <f t="shared" si="131"/>
        <v>150</v>
      </c>
      <c r="Y1620" s="16">
        <f t="shared" si="136"/>
        <v>0</v>
      </c>
    </row>
    <row r="1621" spans="2:25" s="31" customFormat="1" ht="15">
      <c r="B1621" s="72"/>
      <c r="C1621" s="182"/>
      <c r="D1621" s="419"/>
      <c r="E1621" s="182"/>
      <c r="F1621" s="72"/>
      <c r="G1621" s="72"/>
      <c r="H1621" s="631"/>
      <c r="I1621" s="631"/>
      <c r="K1621" s="203"/>
      <c r="L1621" s="203"/>
      <c r="M1621" s="203"/>
      <c r="O1621" s="32"/>
      <c r="P1621" s="32"/>
      <c r="Q1621" s="356"/>
      <c r="R1621" s="356"/>
      <c r="S1621" s="407"/>
      <c r="T1621" s="407"/>
      <c r="U1621" s="407"/>
      <c r="V1621" s="32" t="s">
        <v>871</v>
      </c>
      <c r="X1621" s="16">
        <f t="shared" si="131"/>
        <v>0</v>
      </c>
      <c r="Y1621" s="16">
        <f t="shared" si="136"/>
        <v>0</v>
      </c>
    </row>
    <row r="1622" spans="2:25" s="31" customFormat="1" ht="30">
      <c r="B1622" s="550" t="s">
        <v>546</v>
      </c>
      <c r="C1622" s="1137" t="s">
        <v>1202</v>
      </c>
      <c r="D1622" s="13">
        <v>40899</v>
      </c>
      <c r="E1622" s="779" t="s">
        <v>3174</v>
      </c>
      <c r="F1622" s="371" t="s">
        <v>5203</v>
      </c>
      <c r="G1622" s="212"/>
      <c r="H1622" s="631"/>
      <c r="I1622" s="631"/>
      <c r="J1622" s="6"/>
      <c r="K1622" s="10">
        <v>100</v>
      </c>
      <c r="L1622" s="6"/>
      <c r="M1622" s="14">
        <f t="shared" si="135"/>
        <v>100</v>
      </c>
      <c r="O1622" s="32"/>
      <c r="P1622" s="1138" t="s">
        <v>102</v>
      </c>
      <c r="Q1622" s="356"/>
      <c r="R1622" s="356"/>
      <c r="S1622" s="407"/>
      <c r="T1622" s="407"/>
      <c r="U1622" s="407"/>
      <c r="V1622" s="32" t="s">
        <v>871</v>
      </c>
      <c r="W1622" s="31" t="s">
        <v>1172</v>
      </c>
      <c r="X1622" s="16">
        <f t="shared" si="131"/>
        <v>100</v>
      </c>
      <c r="Y1622" s="16">
        <f t="shared" si="136"/>
        <v>0</v>
      </c>
    </row>
    <row r="1623" spans="2:25" s="31" customFormat="1" ht="30">
      <c r="B1623" s="550" t="s">
        <v>546</v>
      </c>
      <c r="C1623" s="1137" t="s">
        <v>1203</v>
      </c>
      <c r="D1623" s="13">
        <v>40849</v>
      </c>
      <c r="E1623" s="779" t="s">
        <v>3174</v>
      </c>
      <c r="F1623" s="371" t="s">
        <v>5203</v>
      </c>
      <c r="G1623" s="212"/>
      <c r="H1623" s="631"/>
      <c r="I1623" s="631"/>
      <c r="J1623" s="14"/>
      <c r="K1623" s="10">
        <v>250</v>
      </c>
      <c r="L1623" s="14"/>
      <c r="M1623" s="14">
        <f>SUM(J1623:L1623)</f>
        <v>250</v>
      </c>
      <c r="O1623" s="32"/>
      <c r="P1623" s="1138" t="s">
        <v>102</v>
      </c>
      <c r="Q1623" s="356"/>
      <c r="R1623" s="356"/>
      <c r="S1623" s="407"/>
      <c r="T1623" s="407"/>
      <c r="U1623" s="407"/>
      <c r="V1623" s="32" t="s">
        <v>871</v>
      </c>
      <c r="W1623" s="31" t="s">
        <v>872</v>
      </c>
      <c r="X1623" s="16">
        <f t="shared" si="131"/>
        <v>250</v>
      </c>
      <c r="Y1623" s="16">
        <f t="shared" si="136"/>
        <v>0</v>
      </c>
    </row>
    <row r="1624" spans="2:25" s="31" customFormat="1" ht="30">
      <c r="B1624" s="550" t="s">
        <v>546</v>
      </c>
      <c r="C1624" s="1137" t="s">
        <v>1204</v>
      </c>
      <c r="D1624" s="13">
        <v>40857</v>
      </c>
      <c r="E1624" s="779" t="s">
        <v>3174</v>
      </c>
      <c r="F1624" s="371" t="s">
        <v>5203</v>
      </c>
      <c r="G1624" s="212"/>
      <c r="H1624" s="631"/>
      <c r="I1624" s="631"/>
      <c r="J1624" s="14"/>
      <c r="K1624" s="10">
        <v>100</v>
      </c>
      <c r="L1624" s="14"/>
      <c r="M1624" s="14">
        <f>SUM(J1624:L1624)</f>
        <v>100</v>
      </c>
      <c r="O1624" s="32"/>
      <c r="P1624" s="1138" t="s">
        <v>102</v>
      </c>
      <c r="Q1624" s="356"/>
      <c r="R1624" s="356"/>
      <c r="S1624" s="407"/>
      <c r="T1624" s="407"/>
      <c r="U1624" s="407"/>
      <c r="V1624" s="32" t="s">
        <v>198</v>
      </c>
      <c r="W1624" s="31" t="s">
        <v>1172</v>
      </c>
      <c r="X1624" s="16">
        <f t="shared" si="131"/>
        <v>100</v>
      </c>
      <c r="Y1624" s="16">
        <f t="shared" si="136"/>
        <v>0</v>
      </c>
    </row>
    <row r="1625" spans="2:25" s="31" customFormat="1" ht="30">
      <c r="B1625" s="263" t="s">
        <v>1205</v>
      </c>
      <c r="C1625" s="182" t="s">
        <v>1206</v>
      </c>
      <c r="D1625" s="419">
        <v>40939</v>
      </c>
      <c r="E1625" s="182" t="s">
        <v>3174</v>
      </c>
      <c r="F1625" s="371" t="s">
        <v>5203</v>
      </c>
      <c r="G1625" s="72"/>
      <c r="H1625" s="631"/>
      <c r="I1625" s="631"/>
      <c r="K1625" s="203">
        <v>500</v>
      </c>
      <c r="L1625" s="203"/>
      <c r="M1625" s="203">
        <f>SUM(K1625:L1625)</f>
        <v>500</v>
      </c>
      <c r="O1625" s="32"/>
      <c r="P1625" s="1138" t="s">
        <v>102</v>
      </c>
      <c r="Q1625" s="356"/>
      <c r="R1625" s="356"/>
      <c r="S1625" s="407"/>
      <c r="T1625" s="407"/>
      <c r="U1625" s="407"/>
      <c r="V1625" s="32"/>
      <c r="W1625" s="31" t="s">
        <v>1185</v>
      </c>
      <c r="X1625" s="16">
        <f t="shared" si="131"/>
        <v>500</v>
      </c>
      <c r="Y1625" s="16">
        <f t="shared" si="136"/>
        <v>0</v>
      </c>
    </row>
    <row r="1626" spans="2:25" s="31" customFormat="1" ht="15">
      <c r="B1626" s="263"/>
      <c r="C1626" s="182"/>
      <c r="D1626" s="419"/>
      <c r="E1626" s="182"/>
      <c r="F1626" s="371"/>
      <c r="G1626" s="72"/>
      <c r="H1626" s="1177"/>
      <c r="I1626" s="1177"/>
      <c r="K1626" s="203"/>
      <c r="L1626" s="203"/>
      <c r="M1626" s="203"/>
      <c r="O1626" s="32"/>
      <c r="P1626" s="32"/>
      <c r="Q1626" s="356"/>
      <c r="R1626" s="356"/>
      <c r="S1626" s="407"/>
      <c r="T1626" s="407"/>
      <c r="U1626" s="407"/>
      <c r="V1626" s="32" t="s">
        <v>871</v>
      </c>
      <c r="X1626" s="16">
        <f t="shared" si="131"/>
        <v>0</v>
      </c>
      <c r="Y1626" s="16">
        <f t="shared" si="136"/>
        <v>0</v>
      </c>
    </row>
    <row r="1627" spans="2:25" s="31" customFormat="1" ht="30">
      <c r="B1627" s="550" t="s">
        <v>546</v>
      </c>
      <c r="C1627" s="1126" t="s">
        <v>1207</v>
      </c>
      <c r="D1627" s="361">
        <v>40890</v>
      </c>
      <c r="E1627" s="779" t="s">
        <v>5205</v>
      </c>
      <c r="F1627" s="212" t="s">
        <v>5204</v>
      </c>
      <c r="G1627" s="212"/>
      <c r="H1627" s="631"/>
      <c r="I1627" s="631"/>
      <c r="J1627" s="6"/>
      <c r="K1627" s="10">
        <v>300</v>
      </c>
      <c r="L1627" s="6"/>
      <c r="M1627" s="14">
        <f t="shared" si="135"/>
        <v>300</v>
      </c>
      <c r="O1627" s="32"/>
      <c r="P1627" s="1138" t="s">
        <v>102</v>
      </c>
      <c r="Q1627" s="356"/>
      <c r="R1627" s="356"/>
      <c r="S1627" s="407"/>
      <c r="T1627" s="407"/>
      <c r="U1627" s="407"/>
      <c r="V1627" s="32" t="s">
        <v>198</v>
      </c>
      <c r="W1627" s="31" t="s">
        <v>872</v>
      </c>
      <c r="X1627" s="16">
        <f t="shared" si="131"/>
        <v>300</v>
      </c>
      <c r="Y1627" s="16">
        <f t="shared" si="136"/>
        <v>0</v>
      </c>
    </row>
    <row r="1628" spans="2:25" s="31" customFormat="1" ht="30">
      <c r="B1628" s="72" t="s">
        <v>1208</v>
      </c>
      <c r="C1628" s="182" t="s">
        <v>1209</v>
      </c>
      <c r="D1628" s="419">
        <v>40939</v>
      </c>
      <c r="E1628" s="182" t="s">
        <v>5205</v>
      </c>
      <c r="F1628" s="72" t="s">
        <v>5204</v>
      </c>
      <c r="G1628" s="72"/>
      <c r="H1628" s="631"/>
      <c r="I1628" s="631"/>
      <c r="K1628" s="203">
        <v>2000</v>
      </c>
      <c r="L1628" s="203"/>
      <c r="M1628" s="203">
        <f>SUM(K1628:L1628)</f>
        <v>2000</v>
      </c>
      <c r="O1628" s="32"/>
      <c r="P1628" s="1138" t="s">
        <v>102</v>
      </c>
      <c r="Q1628" s="356"/>
      <c r="R1628" s="356"/>
      <c r="S1628" s="407"/>
      <c r="T1628" s="407"/>
      <c r="U1628" s="407"/>
      <c r="V1628" s="32" t="s">
        <v>198</v>
      </c>
      <c r="W1628" s="31" t="s">
        <v>875</v>
      </c>
      <c r="X1628" s="16">
        <f t="shared" si="131"/>
        <v>2000</v>
      </c>
      <c r="Y1628" s="16">
        <f t="shared" si="136"/>
        <v>0</v>
      </c>
    </row>
    <row r="1629" spans="2:25" s="31" customFormat="1" ht="30">
      <c r="B1629" s="72" t="s">
        <v>1210</v>
      </c>
      <c r="C1629" s="182" t="s">
        <v>1211</v>
      </c>
      <c r="D1629" s="419">
        <v>41016</v>
      </c>
      <c r="E1629" s="182" t="s">
        <v>5205</v>
      </c>
      <c r="F1629" s="72" t="s">
        <v>5204</v>
      </c>
      <c r="G1629" s="72"/>
      <c r="H1629" s="631"/>
      <c r="I1629" s="631"/>
      <c r="K1629" s="203">
        <v>350</v>
      </c>
      <c r="L1629" s="203"/>
      <c r="M1629" s="203">
        <f>SUM(K1629:L1629)</f>
        <v>350</v>
      </c>
      <c r="O1629" s="32"/>
      <c r="P1629" s="1138" t="s">
        <v>102</v>
      </c>
      <c r="Q1629" s="356"/>
      <c r="R1629" s="356"/>
      <c r="S1629" s="407"/>
      <c r="T1629" s="407"/>
      <c r="U1629" s="407"/>
      <c r="V1629" s="32" t="s">
        <v>871</v>
      </c>
      <c r="W1629" s="31" t="s">
        <v>875</v>
      </c>
      <c r="X1629" s="16">
        <f t="shared" si="131"/>
        <v>350</v>
      </c>
      <c r="Y1629" s="16">
        <f t="shared" si="136"/>
        <v>0</v>
      </c>
    </row>
    <row r="1630" spans="2:25" s="31" customFormat="1" ht="30">
      <c r="B1630" s="550" t="s">
        <v>546</v>
      </c>
      <c r="C1630" s="1137" t="s">
        <v>1212</v>
      </c>
      <c r="D1630" s="13">
        <v>40858</v>
      </c>
      <c r="E1630" s="779" t="s">
        <v>5205</v>
      </c>
      <c r="F1630" s="371" t="s">
        <v>5204</v>
      </c>
      <c r="G1630" s="212"/>
      <c r="H1630" s="631"/>
      <c r="I1630" s="631"/>
      <c r="J1630" s="14"/>
      <c r="K1630" s="10">
        <v>55</v>
      </c>
      <c r="L1630" s="14"/>
      <c r="M1630" s="14">
        <f>SUM(J1630:L1630)</f>
        <v>55</v>
      </c>
      <c r="O1630" s="32"/>
      <c r="P1630" s="1138" t="s">
        <v>102</v>
      </c>
      <c r="Q1630" s="356"/>
      <c r="R1630" s="356"/>
      <c r="S1630" s="407"/>
      <c r="T1630" s="407"/>
      <c r="U1630" s="407"/>
      <c r="V1630" s="32"/>
      <c r="W1630" s="31" t="s">
        <v>872</v>
      </c>
      <c r="X1630" s="16">
        <f t="shared" si="131"/>
        <v>55</v>
      </c>
      <c r="Y1630" s="16">
        <f t="shared" si="136"/>
        <v>0</v>
      </c>
    </row>
    <row r="1631" spans="2:25" s="31" customFormat="1" ht="15">
      <c r="B1631" s="550"/>
      <c r="C1631" s="1137"/>
      <c r="D1631" s="13"/>
      <c r="E1631" s="779"/>
      <c r="F1631" s="371"/>
      <c r="G1631" s="212"/>
      <c r="H1631" s="631"/>
      <c r="I1631" s="631"/>
      <c r="J1631" s="14"/>
      <c r="K1631" s="10"/>
      <c r="L1631" s="14"/>
      <c r="M1631" s="14"/>
      <c r="O1631" s="816"/>
      <c r="P1631" s="32"/>
      <c r="Q1631" s="356"/>
      <c r="R1631" s="356"/>
      <c r="S1631" s="873"/>
      <c r="T1631" s="873"/>
      <c r="U1631" s="873"/>
      <c r="V1631" s="32" t="s">
        <v>871</v>
      </c>
      <c r="W1631" s="31" t="s">
        <v>1213</v>
      </c>
      <c r="X1631" s="16">
        <f t="shared" si="131"/>
        <v>0</v>
      </c>
      <c r="Y1631" s="16">
        <f t="shared" si="136"/>
        <v>0</v>
      </c>
    </row>
    <row r="1632" spans="2:25" s="31" customFormat="1" ht="30">
      <c r="B1632" s="550" t="s">
        <v>546</v>
      </c>
      <c r="C1632" s="1126" t="s">
        <v>1214</v>
      </c>
      <c r="D1632" s="361">
        <v>40886</v>
      </c>
      <c r="E1632" s="779" t="s">
        <v>5206</v>
      </c>
      <c r="F1632" s="371" t="s">
        <v>4987</v>
      </c>
      <c r="G1632" s="371"/>
      <c r="H1632" s="691">
        <v>305913</v>
      </c>
      <c r="I1632" s="691"/>
      <c r="J1632" s="10"/>
      <c r="K1632" s="10">
        <v>3000</v>
      </c>
      <c r="L1632" s="10"/>
      <c r="M1632" s="14">
        <f t="shared" si="135"/>
        <v>3000</v>
      </c>
      <c r="N1632" s="1179">
        <f>M1632+H1632</f>
        <v>308913</v>
      </c>
      <c r="O1632" s="816"/>
      <c r="P1632" s="1138" t="s">
        <v>102</v>
      </c>
      <c r="Q1632" s="356">
        <f>499.994+500+150+298.925+300</f>
        <v>1748.9190000000001</v>
      </c>
      <c r="R1632" s="356">
        <f>140.061+280.862+500+150+300</f>
        <v>1370.923</v>
      </c>
      <c r="S1632" s="873"/>
      <c r="T1632" s="873"/>
      <c r="U1632" s="873"/>
      <c r="V1632" s="32" t="s">
        <v>871</v>
      </c>
      <c r="W1632" s="31" t="s">
        <v>872</v>
      </c>
      <c r="X1632" s="16">
        <f t="shared" si="131"/>
        <v>3000</v>
      </c>
      <c r="Y1632" s="16">
        <f t="shared" si="136"/>
        <v>0</v>
      </c>
    </row>
    <row r="1633" spans="2:25" s="31" customFormat="1" ht="75">
      <c r="B1633" s="550" t="s">
        <v>546</v>
      </c>
      <c r="C1633" s="1126" t="s">
        <v>1214</v>
      </c>
      <c r="D1633" s="361">
        <v>40886</v>
      </c>
      <c r="E1633" s="779" t="s">
        <v>5208</v>
      </c>
      <c r="F1633" s="371" t="s">
        <v>5207</v>
      </c>
      <c r="G1633" s="371"/>
      <c r="H1633" s="691">
        <v>223797</v>
      </c>
      <c r="I1633" s="691"/>
      <c r="J1633" s="10"/>
      <c r="K1633" s="10">
        <v>7000</v>
      </c>
      <c r="L1633" s="10"/>
      <c r="M1633" s="14">
        <f t="shared" si="135"/>
        <v>7000</v>
      </c>
      <c r="N1633" s="1179">
        <f>M1633+H1633</f>
        <v>230797</v>
      </c>
      <c r="O1633" s="816"/>
      <c r="P1633" s="1138" t="s">
        <v>102</v>
      </c>
      <c r="Q1633" s="356">
        <f>429.582+279.831</f>
        <v>709.41300000000001</v>
      </c>
      <c r="R1633" s="356"/>
      <c r="S1633" s="873"/>
      <c r="T1633" s="873"/>
      <c r="U1633" s="873"/>
      <c r="V1633" s="32" t="s">
        <v>871</v>
      </c>
      <c r="W1633" s="31" t="s">
        <v>1215</v>
      </c>
      <c r="X1633" s="16">
        <f t="shared" si="131"/>
        <v>7000</v>
      </c>
      <c r="Y1633" s="16">
        <f t="shared" si="136"/>
        <v>0</v>
      </c>
    </row>
    <row r="1634" spans="2:25" s="31" customFormat="1" ht="15">
      <c r="B1634" s="550" t="s">
        <v>546</v>
      </c>
      <c r="C1634" s="1126" t="s">
        <v>1214</v>
      </c>
      <c r="D1634" s="361">
        <v>40886</v>
      </c>
      <c r="E1634" s="779" t="s">
        <v>5210</v>
      </c>
      <c r="F1634" s="371" t="s">
        <v>5209</v>
      </c>
      <c r="G1634" s="371"/>
      <c r="H1634" s="691">
        <v>63385</v>
      </c>
      <c r="I1634" s="691"/>
      <c r="J1634" s="10"/>
      <c r="K1634" s="10">
        <v>1000</v>
      </c>
      <c r="L1634" s="10"/>
      <c r="M1634" s="14">
        <f t="shared" si="135"/>
        <v>1000</v>
      </c>
      <c r="N1634" s="1179">
        <f>M1634+H1634</f>
        <v>64385</v>
      </c>
      <c r="O1634" s="816"/>
      <c r="P1634" s="1138" t="s">
        <v>102</v>
      </c>
      <c r="Q1634" s="356">
        <v>999.98099999999999</v>
      </c>
      <c r="R1634" s="356">
        <v>929.70899999999995</v>
      </c>
      <c r="S1634" s="873"/>
      <c r="T1634" s="873"/>
      <c r="U1634" s="873"/>
      <c r="V1634" s="32" t="s">
        <v>871</v>
      </c>
      <c r="W1634" s="31" t="s">
        <v>1170</v>
      </c>
      <c r="X1634" s="16">
        <f t="shared" si="131"/>
        <v>1000</v>
      </c>
      <c r="Y1634" s="16">
        <f t="shared" si="136"/>
        <v>0</v>
      </c>
    </row>
    <row r="1635" spans="2:25" s="31" customFormat="1" ht="30">
      <c r="B1635" s="550" t="s">
        <v>546</v>
      </c>
      <c r="C1635" s="1126" t="s">
        <v>1214</v>
      </c>
      <c r="D1635" s="361">
        <v>40886</v>
      </c>
      <c r="E1635" s="779" t="s">
        <v>5211</v>
      </c>
      <c r="F1635" s="689" t="s">
        <v>5212</v>
      </c>
      <c r="G1635" s="371"/>
      <c r="H1635" s="691">
        <v>18422</v>
      </c>
      <c r="I1635" s="691"/>
      <c r="J1635" s="10"/>
      <c r="K1635" s="10">
        <v>1000</v>
      </c>
      <c r="L1635" s="10"/>
      <c r="M1635" s="14">
        <f t="shared" si="135"/>
        <v>1000</v>
      </c>
      <c r="N1635" s="1179">
        <f>M1635+H1635</f>
        <v>19422</v>
      </c>
      <c r="O1635" s="32"/>
      <c r="P1635" s="1138" t="s">
        <v>102</v>
      </c>
      <c r="Q1635" s="356"/>
      <c r="R1635" s="356"/>
      <c r="S1635" s="407"/>
      <c r="T1635" s="407"/>
      <c r="U1635" s="407"/>
      <c r="V1635" s="32"/>
      <c r="X1635" s="16">
        <f t="shared" si="131"/>
        <v>1000</v>
      </c>
      <c r="Y1635" s="16">
        <f t="shared" si="136"/>
        <v>0</v>
      </c>
    </row>
    <row r="1636" spans="2:25" s="31" customFormat="1" ht="15">
      <c r="B1636" s="550"/>
      <c r="C1636" s="1126"/>
      <c r="D1636" s="361"/>
      <c r="E1636" s="779"/>
      <c r="F1636" s="371"/>
      <c r="G1636" s="371"/>
      <c r="H1636" s="691"/>
      <c r="I1636" s="691"/>
      <c r="J1636" s="6"/>
      <c r="K1636" s="10"/>
      <c r="L1636" s="6"/>
      <c r="M1636" s="14"/>
      <c r="O1636" s="32"/>
      <c r="P1636" s="32"/>
      <c r="Q1636" s="356"/>
      <c r="R1636" s="356"/>
      <c r="S1636" s="407"/>
      <c r="T1636" s="407"/>
      <c r="U1636" s="407"/>
      <c r="V1636" s="32" t="s">
        <v>871</v>
      </c>
      <c r="W1636" s="31" t="s">
        <v>1170</v>
      </c>
      <c r="X1636" s="16">
        <f t="shared" si="131"/>
        <v>0</v>
      </c>
      <c r="Y1636" s="16">
        <f t="shared" si="136"/>
        <v>0</v>
      </c>
    </row>
    <row r="1637" spans="2:25" s="31" customFormat="1" ht="30">
      <c r="B1637" s="550" t="s">
        <v>546</v>
      </c>
      <c r="C1637" s="1126" t="s">
        <v>1214</v>
      </c>
      <c r="D1637" s="361">
        <v>40886</v>
      </c>
      <c r="E1637" s="779" t="s">
        <v>5213</v>
      </c>
      <c r="F1637" s="371" t="s">
        <v>935</v>
      </c>
      <c r="G1637" s="371"/>
      <c r="H1637" s="631"/>
      <c r="I1637" s="631"/>
      <c r="J1637" s="6"/>
      <c r="K1637" s="10">
        <v>1000</v>
      </c>
      <c r="L1637" s="6"/>
      <c r="M1637" s="14">
        <f t="shared" si="135"/>
        <v>1000</v>
      </c>
      <c r="O1637" s="32"/>
      <c r="P1637" s="1138" t="s">
        <v>102</v>
      </c>
      <c r="Q1637" s="356">
        <v>1000</v>
      </c>
      <c r="R1637" s="356">
        <v>1000</v>
      </c>
      <c r="S1637" s="919">
        <v>1508</v>
      </c>
      <c r="T1637" s="407"/>
      <c r="U1637" s="407"/>
      <c r="V1637" s="32" t="s">
        <v>198</v>
      </c>
      <c r="W1637" s="31" t="s">
        <v>1216</v>
      </c>
      <c r="X1637" s="16">
        <f t="shared" si="131"/>
        <v>1000</v>
      </c>
      <c r="Y1637" s="16">
        <f t="shared" si="136"/>
        <v>0</v>
      </c>
    </row>
    <row r="1638" spans="2:25" s="31" customFormat="1" ht="60">
      <c r="B1638" s="1101" t="s">
        <v>5810</v>
      </c>
      <c r="C1638" s="182" t="s">
        <v>1217</v>
      </c>
      <c r="D1638" s="419">
        <v>40995</v>
      </c>
      <c r="E1638" s="182" t="s">
        <v>5213</v>
      </c>
      <c r="F1638" s="72" t="s">
        <v>5214</v>
      </c>
      <c r="G1638" s="72"/>
      <c r="H1638" s="631"/>
      <c r="I1638" s="631"/>
      <c r="K1638" s="203">
        <v>1000</v>
      </c>
      <c r="L1638" s="203"/>
      <c r="M1638" s="203">
        <f>SUM(K1638:L1638)</f>
        <v>1000</v>
      </c>
      <c r="O1638" s="32"/>
      <c r="P1638" s="1138" t="s">
        <v>102</v>
      </c>
      <c r="Q1638" s="356">
        <v>1000</v>
      </c>
      <c r="R1638" s="356">
        <v>1000</v>
      </c>
      <c r="S1638" s="919">
        <v>1024</v>
      </c>
      <c r="T1638" s="407"/>
      <c r="U1638" s="407"/>
      <c r="V1638" s="32"/>
      <c r="X1638" s="16">
        <f t="shared" si="131"/>
        <v>1000</v>
      </c>
      <c r="Y1638" s="16">
        <f t="shared" si="136"/>
        <v>0</v>
      </c>
    </row>
    <row r="1639" spans="2:25" s="31" customFormat="1" ht="15">
      <c r="B1639" s="72"/>
      <c r="C1639" s="182"/>
      <c r="D1639" s="419"/>
      <c r="E1639" s="182"/>
      <c r="F1639" s="72"/>
      <c r="G1639" s="72"/>
      <c r="H1639" s="631"/>
      <c r="I1639" s="631"/>
      <c r="K1639" s="203"/>
      <c r="L1639" s="203"/>
      <c r="M1639" s="203"/>
      <c r="O1639" s="32"/>
      <c r="P1639" s="32"/>
      <c r="Q1639" s="356"/>
      <c r="R1639" s="356"/>
      <c r="S1639" s="407"/>
      <c r="T1639" s="407"/>
      <c r="U1639" s="407"/>
      <c r="V1639" s="32" t="s">
        <v>871</v>
      </c>
      <c r="X1639" s="16">
        <f t="shared" ref="X1639:X1673" si="137">SUM(J1639:L1639)</f>
        <v>0</v>
      </c>
      <c r="Y1639" s="16">
        <f t="shared" si="136"/>
        <v>0</v>
      </c>
    </row>
    <row r="1640" spans="2:25" s="31" customFormat="1" ht="30">
      <c r="B1640" s="550" t="s">
        <v>546</v>
      </c>
      <c r="C1640" s="1126" t="s">
        <v>1214</v>
      </c>
      <c r="D1640" s="361">
        <v>40886</v>
      </c>
      <c r="E1640" s="779" t="s">
        <v>5216</v>
      </c>
      <c r="F1640" s="371" t="s">
        <v>5215</v>
      </c>
      <c r="G1640" s="371"/>
      <c r="H1640" s="691">
        <v>15351</v>
      </c>
      <c r="I1640" s="691"/>
      <c r="J1640" s="6"/>
      <c r="K1640" s="10">
        <v>1000</v>
      </c>
      <c r="L1640" s="6"/>
      <c r="M1640" s="14">
        <f t="shared" si="135"/>
        <v>1000</v>
      </c>
      <c r="O1640" s="32"/>
      <c r="P1640" s="1138" t="s">
        <v>102</v>
      </c>
      <c r="Q1640" s="356">
        <f>470+530</f>
        <v>1000</v>
      </c>
      <c r="R1640" s="356">
        <f>470+530</f>
        <v>1000</v>
      </c>
      <c r="S1640" s="407"/>
      <c r="T1640" s="407"/>
      <c r="U1640" s="407"/>
      <c r="V1640" s="32" t="s">
        <v>871</v>
      </c>
      <c r="W1640" s="31" t="s">
        <v>1167</v>
      </c>
      <c r="X1640" s="16">
        <f t="shared" si="137"/>
        <v>1000</v>
      </c>
      <c r="Y1640" s="16">
        <f t="shared" si="136"/>
        <v>0</v>
      </c>
    </row>
    <row r="1641" spans="2:25" s="31" customFormat="1" ht="45">
      <c r="B1641" s="550" t="s">
        <v>546</v>
      </c>
      <c r="C1641" s="1126" t="s">
        <v>1214</v>
      </c>
      <c r="D1641" s="361">
        <v>40886</v>
      </c>
      <c r="E1641" s="779" t="s">
        <v>5218</v>
      </c>
      <c r="F1641" s="371" t="s">
        <v>5217</v>
      </c>
      <c r="G1641" s="371"/>
      <c r="H1641" s="691">
        <v>84752</v>
      </c>
      <c r="I1641" s="691"/>
      <c r="J1641" s="6"/>
      <c r="K1641" s="10">
        <v>1000</v>
      </c>
      <c r="L1641" s="6"/>
      <c r="M1641" s="14">
        <f t="shared" si="135"/>
        <v>1000</v>
      </c>
      <c r="O1641" s="32"/>
      <c r="P1641" s="1138" t="s">
        <v>102</v>
      </c>
      <c r="Q1641" s="356">
        <v>1000</v>
      </c>
      <c r="R1641" s="356">
        <v>1000</v>
      </c>
      <c r="S1641" s="895">
        <v>1000</v>
      </c>
      <c r="T1641" s="407"/>
      <c r="U1641" s="407"/>
      <c r="V1641" s="32" t="s">
        <v>871</v>
      </c>
      <c r="W1641" s="31" t="s">
        <v>1218</v>
      </c>
      <c r="X1641" s="16">
        <f t="shared" si="137"/>
        <v>1000</v>
      </c>
      <c r="Y1641" s="16">
        <f t="shared" ref="Y1641:Y1672" si="138">X1641-M1641</f>
        <v>0</v>
      </c>
    </row>
    <row r="1642" spans="2:25" s="31" customFormat="1" ht="30">
      <c r="B1642" s="550" t="s">
        <v>546</v>
      </c>
      <c r="C1642" s="1126" t="s">
        <v>1214</v>
      </c>
      <c r="D1642" s="361">
        <v>40886</v>
      </c>
      <c r="E1642" s="779" t="s">
        <v>5220</v>
      </c>
      <c r="F1642" s="371" t="s">
        <v>5219</v>
      </c>
      <c r="G1642" s="371"/>
      <c r="H1642" s="691">
        <v>59696</v>
      </c>
      <c r="I1642" s="691"/>
      <c r="J1642" s="6"/>
      <c r="K1642" s="10">
        <v>1000</v>
      </c>
      <c r="L1642" s="6"/>
      <c r="M1642" s="14">
        <f t="shared" si="135"/>
        <v>1000</v>
      </c>
      <c r="O1642" s="32"/>
      <c r="P1642" s="1138" t="s">
        <v>102</v>
      </c>
      <c r="Q1642" s="356">
        <v>1000</v>
      </c>
      <c r="R1642" s="356">
        <v>1000</v>
      </c>
      <c r="S1642" s="895"/>
      <c r="T1642" s="407"/>
      <c r="U1642" s="407"/>
      <c r="V1642" s="32" t="s">
        <v>871</v>
      </c>
      <c r="W1642" s="31" t="s">
        <v>1218</v>
      </c>
      <c r="X1642" s="16">
        <f t="shared" si="137"/>
        <v>1000</v>
      </c>
      <c r="Y1642" s="16">
        <f t="shared" si="138"/>
        <v>0</v>
      </c>
    </row>
    <row r="1643" spans="2:25" s="31" customFormat="1" ht="30">
      <c r="B1643" s="550" t="s">
        <v>546</v>
      </c>
      <c r="C1643" s="1126" t="s">
        <v>1214</v>
      </c>
      <c r="D1643" s="361">
        <v>40886</v>
      </c>
      <c r="E1643" s="779" t="s">
        <v>5222</v>
      </c>
      <c r="F1643" s="371" t="s">
        <v>5221</v>
      </c>
      <c r="G1643" s="371"/>
      <c r="H1643" s="691">
        <v>41144</v>
      </c>
      <c r="I1643" s="691"/>
      <c r="J1643" s="6"/>
      <c r="K1643" s="10">
        <v>1000</v>
      </c>
      <c r="L1643" s="6"/>
      <c r="M1643" s="14">
        <f t="shared" si="135"/>
        <v>1000</v>
      </c>
      <c r="O1643" s="32"/>
      <c r="P1643" s="1138" t="s">
        <v>102</v>
      </c>
      <c r="Q1643" s="356"/>
      <c r="R1643" s="356"/>
      <c r="S1643" s="407"/>
      <c r="T1643" s="407"/>
      <c r="U1643" s="407"/>
      <c r="V1643" s="32" t="s">
        <v>871</v>
      </c>
      <c r="W1643" s="31" t="s">
        <v>1219</v>
      </c>
      <c r="X1643" s="16">
        <f t="shared" si="137"/>
        <v>1000</v>
      </c>
      <c r="Y1643" s="16">
        <f t="shared" si="138"/>
        <v>0</v>
      </c>
    </row>
    <row r="1644" spans="2:25" s="31" customFormat="1" ht="15">
      <c r="B1644" s="550" t="s">
        <v>546</v>
      </c>
      <c r="C1644" s="1126" t="s">
        <v>1221</v>
      </c>
      <c r="D1644" s="361">
        <v>40886</v>
      </c>
      <c r="E1644" s="779" t="s">
        <v>3190</v>
      </c>
      <c r="F1644" s="371" t="s">
        <v>5223</v>
      </c>
      <c r="G1644" s="371"/>
      <c r="H1644" s="691">
        <v>134738</v>
      </c>
      <c r="I1644" s="691"/>
      <c r="J1644" s="6"/>
      <c r="K1644" s="10">
        <v>200</v>
      </c>
      <c r="L1644" s="6"/>
      <c r="M1644" s="14">
        <f t="shared" si="135"/>
        <v>200</v>
      </c>
      <c r="O1644" s="32"/>
      <c r="P1644" s="1138" t="s">
        <v>102</v>
      </c>
      <c r="Q1644" s="356"/>
      <c r="R1644" s="356"/>
      <c r="S1644" s="407"/>
      <c r="T1644" s="407"/>
      <c r="U1644" s="407"/>
      <c r="V1644" s="32" t="s">
        <v>871</v>
      </c>
      <c r="W1644" s="31" t="s">
        <v>1220</v>
      </c>
      <c r="X1644" s="16">
        <f t="shared" si="137"/>
        <v>200</v>
      </c>
      <c r="Y1644" s="16">
        <f t="shared" si="138"/>
        <v>0</v>
      </c>
    </row>
    <row r="1645" spans="2:25" s="31" customFormat="1" ht="30">
      <c r="B1645" s="550" t="s">
        <v>546</v>
      </c>
      <c r="C1645" s="1126" t="s">
        <v>1221</v>
      </c>
      <c r="D1645" s="361">
        <v>40886</v>
      </c>
      <c r="E1645" s="779" t="s">
        <v>5225</v>
      </c>
      <c r="F1645" s="371" t="s">
        <v>5224</v>
      </c>
      <c r="G1645" s="371"/>
      <c r="H1645" s="691">
        <v>264757</v>
      </c>
      <c r="I1645" s="691"/>
      <c r="J1645" s="6"/>
      <c r="K1645" s="10">
        <v>200</v>
      </c>
      <c r="L1645" s="6"/>
      <c r="M1645" s="14">
        <f t="shared" si="135"/>
        <v>200</v>
      </c>
      <c r="O1645" s="32"/>
      <c r="P1645" s="1138" t="s">
        <v>102</v>
      </c>
      <c r="Q1645" s="356"/>
      <c r="R1645" s="356"/>
      <c r="S1645" s="1323" t="s">
        <v>1222</v>
      </c>
      <c r="T1645" s="1323"/>
      <c r="U1645" s="1323"/>
      <c r="V1645" s="32" t="s">
        <v>871</v>
      </c>
      <c r="W1645" s="31" t="s">
        <v>1220</v>
      </c>
      <c r="X1645" s="16">
        <f t="shared" si="137"/>
        <v>200</v>
      </c>
      <c r="Y1645" s="16">
        <f t="shared" si="138"/>
        <v>0</v>
      </c>
    </row>
    <row r="1646" spans="2:25" s="31" customFormat="1" ht="30">
      <c r="B1646" s="550" t="s">
        <v>546</v>
      </c>
      <c r="C1646" s="1126" t="s">
        <v>1221</v>
      </c>
      <c r="D1646" s="361">
        <v>40886</v>
      </c>
      <c r="E1646" s="779" t="s">
        <v>5227</v>
      </c>
      <c r="F1646" s="371" t="s">
        <v>5226</v>
      </c>
      <c r="G1646" s="371"/>
      <c r="H1646" s="691">
        <v>20599</v>
      </c>
      <c r="I1646" s="691"/>
      <c r="J1646" s="6"/>
      <c r="K1646" s="10">
        <v>200</v>
      </c>
      <c r="L1646" s="6"/>
      <c r="M1646" s="14">
        <f t="shared" si="135"/>
        <v>200</v>
      </c>
      <c r="O1646" s="32"/>
      <c r="P1646" s="1138" t="s">
        <v>102</v>
      </c>
      <c r="Q1646" s="356"/>
      <c r="R1646" s="356"/>
      <c r="S1646" s="407"/>
      <c r="T1646" s="407"/>
      <c r="U1646" s="407"/>
      <c r="V1646" s="32"/>
      <c r="W1646" s="31" t="s">
        <v>1215</v>
      </c>
      <c r="X1646" s="16">
        <f t="shared" si="137"/>
        <v>200</v>
      </c>
      <c r="Y1646" s="16">
        <f t="shared" si="138"/>
        <v>0</v>
      </c>
    </row>
    <row r="1647" spans="2:25" s="31" customFormat="1" ht="15">
      <c r="B1647" s="550"/>
      <c r="C1647" s="1126"/>
      <c r="D1647" s="361"/>
      <c r="E1647" s="779"/>
      <c r="F1647" s="371"/>
      <c r="G1647" s="371"/>
      <c r="H1647" s="691"/>
      <c r="I1647" s="691"/>
      <c r="J1647" s="6"/>
      <c r="K1647" s="10"/>
      <c r="L1647" s="6"/>
      <c r="M1647" s="14"/>
      <c r="O1647" s="32"/>
      <c r="P1647" s="32"/>
      <c r="Q1647" s="356"/>
      <c r="R1647" s="356"/>
      <c r="S1647" s="407"/>
      <c r="T1647" s="407"/>
      <c r="U1647" s="407"/>
      <c r="V1647" s="32" t="s">
        <v>871</v>
      </c>
      <c r="X1647" s="16">
        <f t="shared" si="137"/>
        <v>0</v>
      </c>
      <c r="Y1647" s="16">
        <f t="shared" si="138"/>
        <v>0</v>
      </c>
    </row>
    <row r="1648" spans="2:25" s="31" customFormat="1" ht="15">
      <c r="B1648" s="550" t="s">
        <v>546</v>
      </c>
      <c r="C1648" s="1126" t="s">
        <v>1221</v>
      </c>
      <c r="D1648" s="361">
        <v>40886</v>
      </c>
      <c r="E1648" s="779" t="s">
        <v>5229</v>
      </c>
      <c r="F1648" s="371" t="s">
        <v>5228</v>
      </c>
      <c r="G1648" s="371"/>
      <c r="H1648" s="631"/>
      <c r="I1648" s="631"/>
      <c r="J1648" s="6"/>
      <c r="K1648" s="10">
        <v>200</v>
      </c>
      <c r="L1648" s="6"/>
      <c r="M1648" s="14">
        <f t="shared" si="135"/>
        <v>200</v>
      </c>
      <c r="O1648" s="32"/>
      <c r="P1648" s="1138" t="s">
        <v>102</v>
      </c>
      <c r="Q1648" s="356">
        <v>200</v>
      </c>
      <c r="R1648" s="356">
        <v>200</v>
      </c>
      <c r="S1648" s="407"/>
      <c r="T1648" s="407"/>
      <c r="U1648" s="407"/>
      <c r="V1648" s="32" t="s">
        <v>198</v>
      </c>
      <c r="W1648" s="31" t="s">
        <v>1174</v>
      </c>
      <c r="X1648" s="16">
        <f t="shared" si="137"/>
        <v>200</v>
      </c>
      <c r="Y1648" s="16">
        <f t="shared" si="138"/>
        <v>0</v>
      </c>
    </row>
    <row r="1649" spans="2:25" s="31" customFormat="1" ht="15">
      <c r="B1649" s="550"/>
      <c r="C1649" s="1126" t="s">
        <v>4534</v>
      </c>
      <c r="D1649" s="361"/>
      <c r="E1649" s="779"/>
      <c r="F1649" s="371"/>
      <c r="G1649" s="371"/>
      <c r="H1649" s="631"/>
      <c r="I1649" s="631"/>
      <c r="J1649" s="6"/>
      <c r="K1649" s="10">
        <v>-200</v>
      </c>
      <c r="L1649" s="6"/>
      <c r="M1649" s="14">
        <f t="shared" si="135"/>
        <v>-200</v>
      </c>
      <c r="O1649" s="32"/>
      <c r="P1649" s="1138" t="s">
        <v>102</v>
      </c>
      <c r="Q1649" s="356"/>
      <c r="R1649" s="356"/>
      <c r="S1649" s="407"/>
      <c r="T1649" s="407"/>
      <c r="U1649" s="407"/>
      <c r="V1649" s="32"/>
      <c r="W1649" s="31" t="s">
        <v>1223</v>
      </c>
      <c r="X1649" s="16">
        <f t="shared" si="137"/>
        <v>-200</v>
      </c>
      <c r="Y1649" s="16">
        <f t="shared" si="138"/>
        <v>0</v>
      </c>
    </row>
    <row r="1650" spans="2:25" s="31" customFormat="1" ht="45">
      <c r="B1650" s="263" t="s">
        <v>1224</v>
      </c>
      <c r="C1650" s="182" t="s">
        <v>1225</v>
      </c>
      <c r="D1650" s="419">
        <v>40934</v>
      </c>
      <c r="E1650" s="182" t="s">
        <v>5231</v>
      </c>
      <c r="F1650" s="72" t="s">
        <v>5230</v>
      </c>
      <c r="G1650" s="72"/>
      <c r="H1650" s="631"/>
      <c r="I1650" s="631"/>
      <c r="K1650" s="203">
        <v>500</v>
      </c>
      <c r="L1650" s="203"/>
      <c r="M1650" s="203">
        <f>SUM(K1650:L1650)</f>
        <v>500</v>
      </c>
      <c r="O1650" s="32"/>
      <c r="P1650" s="32"/>
      <c r="Q1650" s="356"/>
      <c r="R1650" s="356"/>
      <c r="S1650" s="407"/>
      <c r="T1650" s="407"/>
      <c r="U1650" s="407"/>
      <c r="V1650" s="32"/>
      <c r="X1650" s="16">
        <f t="shared" si="137"/>
        <v>500</v>
      </c>
      <c r="Y1650" s="16">
        <f t="shared" si="138"/>
        <v>0</v>
      </c>
    </row>
    <row r="1651" spans="2:25" s="31" customFormat="1" ht="15">
      <c r="B1651" s="1103"/>
      <c r="C1651" s="182"/>
      <c r="D1651" s="419"/>
      <c r="E1651" s="182"/>
      <c r="F1651" s="72"/>
      <c r="G1651" s="72"/>
      <c r="H1651" s="1177"/>
      <c r="I1651" s="1177"/>
      <c r="K1651" s="203"/>
      <c r="L1651" s="203"/>
      <c r="M1651" s="203"/>
      <c r="O1651" s="32"/>
      <c r="P1651" s="32"/>
      <c r="Q1651" s="356"/>
      <c r="R1651" s="356"/>
      <c r="S1651" s="407"/>
      <c r="T1651" s="407"/>
      <c r="U1651" s="407"/>
      <c r="V1651" s="32" t="s">
        <v>871</v>
      </c>
      <c r="X1651" s="16">
        <f t="shared" si="137"/>
        <v>0</v>
      </c>
      <c r="Y1651" s="16">
        <f t="shared" si="138"/>
        <v>0</v>
      </c>
    </row>
    <row r="1652" spans="2:25" s="31" customFormat="1" ht="30">
      <c r="B1652" s="550" t="s">
        <v>546</v>
      </c>
      <c r="C1652" s="1126" t="s">
        <v>1221</v>
      </c>
      <c r="D1652" s="361">
        <v>40886</v>
      </c>
      <c r="E1652" s="779" t="s">
        <v>3124</v>
      </c>
      <c r="F1652" s="371" t="s">
        <v>5232</v>
      </c>
      <c r="G1652" s="371"/>
      <c r="H1652" s="356">
        <v>160913</v>
      </c>
      <c r="I1652" s="356"/>
      <c r="J1652" s="10"/>
      <c r="K1652" s="10">
        <v>200</v>
      </c>
      <c r="L1652" s="10"/>
      <c r="M1652" s="14">
        <f t="shared" si="135"/>
        <v>200</v>
      </c>
      <c r="O1652" s="32"/>
      <c r="P1652" s="1138" t="s">
        <v>102</v>
      </c>
      <c r="Q1652" s="356">
        <f>87.505+112.495</f>
        <v>200</v>
      </c>
      <c r="R1652" s="356">
        <f>87.505+112.495</f>
        <v>200</v>
      </c>
      <c r="S1652" s="407" t="s">
        <v>1226</v>
      </c>
      <c r="T1652" s="407"/>
      <c r="U1652" s="407" t="s">
        <v>1227</v>
      </c>
      <c r="V1652" s="32" t="s">
        <v>871</v>
      </c>
      <c r="W1652" s="31" t="s">
        <v>1167</v>
      </c>
      <c r="X1652" s="16">
        <f t="shared" si="137"/>
        <v>200</v>
      </c>
      <c r="Y1652" s="16">
        <f t="shared" si="138"/>
        <v>0</v>
      </c>
    </row>
    <row r="1653" spans="2:25" s="31" customFormat="1" ht="30">
      <c r="B1653" s="550" t="s">
        <v>546</v>
      </c>
      <c r="C1653" s="1126" t="s">
        <v>1221</v>
      </c>
      <c r="D1653" s="361">
        <v>40886</v>
      </c>
      <c r="E1653" s="779" t="s">
        <v>5216</v>
      </c>
      <c r="F1653" s="371" t="s">
        <v>5215</v>
      </c>
      <c r="G1653" s="371"/>
      <c r="H1653" s="356">
        <v>15351</v>
      </c>
      <c r="I1653" s="356"/>
      <c r="J1653" s="10"/>
      <c r="K1653" s="10">
        <v>500</v>
      </c>
      <c r="L1653" s="10"/>
      <c r="M1653" s="14">
        <f t="shared" si="135"/>
        <v>500</v>
      </c>
      <c r="O1653" s="32"/>
      <c r="P1653" s="1138" t="s">
        <v>102</v>
      </c>
      <c r="Q1653" s="356">
        <v>500</v>
      </c>
      <c r="R1653" s="356">
        <v>500</v>
      </c>
      <c r="S1653" s="407"/>
      <c r="T1653" s="407"/>
      <c r="U1653" s="407"/>
      <c r="V1653" s="32" t="s">
        <v>871</v>
      </c>
      <c r="W1653" s="31" t="s">
        <v>1167</v>
      </c>
      <c r="X1653" s="16">
        <f t="shared" si="137"/>
        <v>500</v>
      </c>
      <c r="Y1653" s="16">
        <f t="shared" si="138"/>
        <v>0</v>
      </c>
    </row>
    <row r="1654" spans="2:25" s="31" customFormat="1" ht="30">
      <c r="B1654" s="550" t="s">
        <v>546</v>
      </c>
      <c r="C1654" s="1126" t="s">
        <v>1221</v>
      </c>
      <c r="D1654" s="361">
        <v>40886</v>
      </c>
      <c r="E1654" s="779" t="s">
        <v>5234</v>
      </c>
      <c r="F1654" s="371" t="s">
        <v>5233</v>
      </c>
      <c r="G1654" s="371"/>
      <c r="H1654" s="356">
        <v>131569</v>
      </c>
      <c r="I1654" s="356"/>
      <c r="J1654" s="10"/>
      <c r="K1654" s="10">
        <v>1000</v>
      </c>
      <c r="L1654" s="10"/>
      <c r="M1654" s="14">
        <f t="shared" si="135"/>
        <v>1000</v>
      </c>
      <c r="O1654" s="32"/>
      <c r="P1654" s="1138" t="s">
        <v>102</v>
      </c>
      <c r="Q1654" s="356"/>
      <c r="R1654" s="356"/>
      <c r="S1654" s="407"/>
      <c r="T1654" s="407"/>
      <c r="U1654" s="407"/>
      <c r="V1654" s="32" t="s">
        <v>871</v>
      </c>
      <c r="W1654" s="31" t="s">
        <v>1219</v>
      </c>
      <c r="X1654" s="16">
        <f t="shared" si="137"/>
        <v>1000</v>
      </c>
      <c r="Y1654" s="16">
        <f t="shared" si="138"/>
        <v>0</v>
      </c>
    </row>
    <row r="1655" spans="2:25" s="31" customFormat="1" ht="30">
      <c r="B1655" s="550" t="s">
        <v>546</v>
      </c>
      <c r="C1655" s="1126" t="s">
        <v>1221</v>
      </c>
      <c r="D1655" s="361">
        <v>40886</v>
      </c>
      <c r="E1655" s="779" t="s">
        <v>5222</v>
      </c>
      <c r="F1655" s="371" t="s">
        <v>5221</v>
      </c>
      <c r="G1655" s="371"/>
      <c r="H1655" s="356">
        <v>41144</v>
      </c>
      <c r="I1655" s="356"/>
      <c r="J1655" s="10"/>
      <c r="K1655" s="10">
        <v>200</v>
      </c>
      <c r="L1655" s="10"/>
      <c r="M1655" s="14">
        <f t="shared" si="135"/>
        <v>200</v>
      </c>
      <c r="O1655" s="32"/>
      <c r="P1655" s="1138" t="s">
        <v>102</v>
      </c>
      <c r="Q1655" s="356"/>
      <c r="R1655" s="356"/>
      <c r="S1655" s="407"/>
      <c r="T1655" s="407"/>
      <c r="U1655" s="407"/>
      <c r="V1655" s="32" t="s">
        <v>871</v>
      </c>
      <c r="W1655" s="31" t="s">
        <v>1174</v>
      </c>
      <c r="X1655" s="16">
        <f t="shared" si="137"/>
        <v>200</v>
      </c>
      <c r="Y1655" s="16">
        <f t="shared" si="138"/>
        <v>0</v>
      </c>
    </row>
    <row r="1656" spans="2:25" s="31" customFormat="1" ht="45">
      <c r="B1656" s="550" t="s">
        <v>546</v>
      </c>
      <c r="C1656" s="1137" t="s">
        <v>1228</v>
      </c>
      <c r="D1656" s="13">
        <v>40857</v>
      </c>
      <c r="E1656" s="779" t="s">
        <v>5236</v>
      </c>
      <c r="F1656" s="371" t="s">
        <v>5235</v>
      </c>
      <c r="G1656" s="212"/>
      <c r="H1656" s="356">
        <v>143239</v>
      </c>
      <c r="I1656" s="356"/>
      <c r="J1656" s="14"/>
      <c r="K1656" s="10">
        <v>1500</v>
      </c>
      <c r="L1656" s="14"/>
      <c r="M1656" s="14">
        <f t="shared" si="135"/>
        <v>1500</v>
      </c>
      <c r="O1656" s="32"/>
      <c r="P1656" s="1138" t="s">
        <v>102</v>
      </c>
      <c r="Q1656" s="356"/>
      <c r="R1656" s="356"/>
      <c r="S1656" s="407"/>
      <c r="T1656" s="407"/>
      <c r="U1656" s="407"/>
      <c r="V1656" s="32" t="s">
        <v>871</v>
      </c>
      <c r="W1656" s="31" t="s">
        <v>1174</v>
      </c>
      <c r="X1656" s="16">
        <f t="shared" si="137"/>
        <v>1500</v>
      </c>
      <c r="Y1656" s="16">
        <f t="shared" si="138"/>
        <v>0</v>
      </c>
    </row>
    <row r="1657" spans="2:25" s="31" customFormat="1" ht="60">
      <c r="B1657" s="550" t="s">
        <v>546</v>
      </c>
      <c r="C1657" s="1137" t="s">
        <v>1229</v>
      </c>
      <c r="D1657" s="13">
        <v>40857</v>
      </c>
      <c r="E1657" s="779" t="s">
        <v>5238</v>
      </c>
      <c r="F1657" s="371" t="s">
        <v>5237</v>
      </c>
      <c r="G1657" s="212"/>
      <c r="H1657" s="356">
        <v>250360</v>
      </c>
      <c r="I1657" s="356"/>
      <c r="J1657" s="14"/>
      <c r="K1657" s="10">
        <v>2500</v>
      </c>
      <c r="L1657" s="14"/>
      <c r="M1657" s="14">
        <f t="shared" si="135"/>
        <v>2500</v>
      </c>
      <c r="O1657" s="32"/>
      <c r="P1657" s="1138" t="s">
        <v>102</v>
      </c>
      <c r="Q1657" s="356"/>
      <c r="R1657" s="356"/>
      <c r="S1657" s="407"/>
      <c r="T1657" s="407"/>
      <c r="U1657" s="407"/>
      <c r="V1657" s="32" t="s">
        <v>871</v>
      </c>
      <c r="W1657" s="31" t="s">
        <v>1218</v>
      </c>
      <c r="X1657" s="16">
        <f t="shared" si="137"/>
        <v>2500</v>
      </c>
      <c r="Y1657" s="16">
        <f t="shared" si="138"/>
        <v>0</v>
      </c>
    </row>
    <row r="1658" spans="2:25" s="31" customFormat="1" ht="60">
      <c r="B1658" s="550" t="s">
        <v>546</v>
      </c>
      <c r="C1658" s="1137" t="s">
        <v>1230</v>
      </c>
      <c r="D1658" s="13">
        <v>40857</v>
      </c>
      <c r="E1658" s="779" t="s">
        <v>5240</v>
      </c>
      <c r="F1658" s="371" t="s">
        <v>5239</v>
      </c>
      <c r="G1658" s="212"/>
      <c r="H1658" s="631"/>
      <c r="I1658" s="631"/>
      <c r="J1658" s="14"/>
      <c r="K1658" s="10">
        <v>1000</v>
      </c>
      <c r="L1658" s="14"/>
      <c r="M1658" s="14">
        <f t="shared" si="135"/>
        <v>1000</v>
      </c>
      <c r="O1658" s="32"/>
      <c r="P1658" s="1138" t="s">
        <v>102</v>
      </c>
      <c r="Q1658" s="356"/>
      <c r="R1658" s="356"/>
      <c r="S1658" s="407"/>
      <c r="T1658" s="407"/>
      <c r="U1658" s="407"/>
      <c r="V1658" s="32" t="s">
        <v>198</v>
      </c>
      <c r="W1658" s="31" t="s">
        <v>1218</v>
      </c>
      <c r="X1658" s="16">
        <f t="shared" si="137"/>
        <v>1000</v>
      </c>
      <c r="Y1658" s="16">
        <f t="shared" si="138"/>
        <v>0</v>
      </c>
    </row>
    <row r="1659" spans="2:25" s="31" customFormat="1" ht="60">
      <c r="B1659" s="263" t="s">
        <v>1232</v>
      </c>
      <c r="C1659" s="182" t="s">
        <v>1233</v>
      </c>
      <c r="D1659" s="419">
        <v>40995</v>
      </c>
      <c r="E1659" s="182" t="s">
        <v>5240</v>
      </c>
      <c r="F1659" s="371" t="s">
        <v>5239</v>
      </c>
      <c r="G1659" s="72"/>
      <c r="H1659" s="631"/>
      <c r="I1659" s="631"/>
      <c r="K1659" s="203">
        <v>500</v>
      </c>
      <c r="L1659" s="203"/>
      <c r="M1659" s="203">
        <f>SUM(K1659:L1659)</f>
        <v>500</v>
      </c>
      <c r="O1659" s="32"/>
      <c r="P1659" s="1138" t="s">
        <v>102</v>
      </c>
      <c r="Q1659" s="356"/>
      <c r="R1659" s="356"/>
      <c r="S1659" s="407"/>
      <c r="T1659" s="407"/>
      <c r="U1659" s="407"/>
      <c r="V1659" s="32"/>
      <c r="W1659" s="31" t="s">
        <v>1231</v>
      </c>
      <c r="X1659" s="16">
        <f t="shared" si="137"/>
        <v>500</v>
      </c>
      <c r="Y1659" s="16">
        <f t="shared" si="138"/>
        <v>0</v>
      </c>
    </row>
    <row r="1660" spans="2:25" s="31" customFormat="1" ht="15">
      <c r="B1660" s="1103"/>
      <c r="C1660" s="182"/>
      <c r="D1660" s="419"/>
      <c r="E1660" s="182"/>
      <c r="F1660" s="265"/>
      <c r="G1660" s="72"/>
      <c r="H1660" s="1177"/>
      <c r="I1660" s="1177"/>
      <c r="K1660" s="203"/>
      <c r="L1660" s="203"/>
      <c r="M1660" s="203"/>
      <c r="O1660" s="32"/>
      <c r="P1660" s="32"/>
      <c r="Q1660" s="356"/>
      <c r="R1660" s="356"/>
      <c r="S1660" s="407"/>
      <c r="T1660" s="407"/>
      <c r="U1660" s="407"/>
      <c r="V1660" s="32" t="s">
        <v>871</v>
      </c>
      <c r="X1660" s="16">
        <f t="shared" si="137"/>
        <v>0</v>
      </c>
      <c r="Y1660" s="16">
        <f t="shared" si="138"/>
        <v>0</v>
      </c>
    </row>
    <row r="1661" spans="2:25" s="31" customFormat="1" ht="45">
      <c r="B1661" s="550" t="s">
        <v>546</v>
      </c>
      <c r="C1661" s="1137" t="s">
        <v>1234</v>
      </c>
      <c r="D1661" s="13">
        <v>40857</v>
      </c>
      <c r="E1661" s="779" t="s">
        <v>3190</v>
      </c>
      <c r="F1661" s="371" t="s">
        <v>5241</v>
      </c>
      <c r="G1661" s="212"/>
      <c r="H1661" s="356">
        <v>134438</v>
      </c>
      <c r="I1661" s="356"/>
      <c r="J1661" s="187"/>
      <c r="K1661" s="6">
        <v>200</v>
      </c>
      <c r="L1661" s="187"/>
      <c r="M1661" s="187">
        <f t="shared" si="135"/>
        <v>200</v>
      </c>
      <c r="O1661" s="32"/>
      <c r="P1661" s="1138" t="s">
        <v>102</v>
      </c>
      <c r="Q1661" s="356"/>
      <c r="R1661" s="356"/>
      <c r="S1661" s="407"/>
      <c r="T1661" s="407"/>
      <c r="U1661" s="407"/>
      <c r="V1661" s="32"/>
      <c r="W1661" s="31" t="s">
        <v>1220</v>
      </c>
      <c r="X1661" s="16">
        <f t="shared" si="137"/>
        <v>200</v>
      </c>
      <c r="Y1661" s="16">
        <f t="shared" si="138"/>
        <v>0</v>
      </c>
    </row>
    <row r="1662" spans="2:25" s="31" customFormat="1" ht="15">
      <c r="B1662" s="550"/>
      <c r="C1662" s="1137"/>
      <c r="D1662" s="13"/>
      <c r="E1662" s="779"/>
      <c r="F1662" s="371"/>
      <c r="G1662" s="212"/>
      <c r="H1662" s="691"/>
      <c r="I1662" s="691"/>
      <c r="J1662" s="14"/>
      <c r="K1662" s="10"/>
      <c r="L1662" s="14"/>
      <c r="M1662" s="14"/>
      <c r="O1662" s="32"/>
      <c r="P1662" s="32"/>
      <c r="Q1662" s="356"/>
      <c r="R1662" s="356"/>
      <c r="S1662" s="407"/>
      <c r="T1662" s="407"/>
      <c r="U1662" s="407"/>
      <c r="V1662" s="32" t="s">
        <v>871</v>
      </c>
      <c r="X1662" s="16">
        <f t="shared" si="137"/>
        <v>0</v>
      </c>
      <c r="Y1662" s="16">
        <f t="shared" si="138"/>
        <v>0</v>
      </c>
    </row>
    <row r="1663" spans="2:25" s="31" customFormat="1" ht="60">
      <c r="B1663" s="550" t="s">
        <v>546</v>
      </c>
      <c r="C1663" s="1137" t="s">
        <v>1235</v>
      </c>
      <c r="D1663" s="13">
        <v>40857</v>
      </c>
      <c r="E1663" s="779" t="s">
        <v>3130</v>
      </c>
      <c r="F1663" s="460" t="s">
        <v>5242</v>
      </c>
      <c r="G1663" s="212"/>
      <c r="H1663" s="631"/>
      <c r="I1663" s="631"/>
      <c r="J1663" s="14"/>
      <c r="K1663" s="10">
        <v>3000</v>
      </c>
      <c r="L1663" s="14"/>
      <c r="M1663" s="14">
        <f t="shared" si="135"/>
        <v>3000</v>
      </c>
      <c r="O1663" s="32"/>
      <c r="P1663" s="1138" t="s">
        <v>102</v>
      </c>
      <c r="Q1663" s="356"/>
      <c r="R1663" s="356"/>
      <c r="S1663" s="407"/>
      <c r="T1663" s="407"/>
      <c r="U1663" s="407"/>
      <c r="V1663" s="32" t="s">
        <v>198</v>
      </c>
      <c r="W1663" s="31" t="s">
        <v>1220</v>
      </c>
      <c r="X1663" s="16">
        <f t="shared" si="137"/>
        <v>3000</v>
      </c>
      <c r="Y1663" s="16">
        <f t="shared" si="138"/>
        <v>0</v>
      </c>
    </row>
    <row r="1664" spans="2:25" s="31" customFormat="1" ht="60">
      <c r="B1664" s="72" t="s">
        <v>5809</v>
      </c>
      <c r="C1664" s="182" t="s">
        <v>1237</v>
      </c>
      <c r="D1664" s="419">
        <v>41016</v>
      </c>
      <c r="E1664" s="182" t="s">
        <v>3130</v>
      </c>
      <c r="F1664" s="265" t="s">
        <v>5242</v>
      </c>
      <c r="G1664" s="72"/>
      <c r="H1664" s="631"/>
      <c r="I1664" s="631"/>
      <c r="K1664" s="203">
        <v>250</v>
      </c>
      <c r="L1664" s="203"/>
      <c r="M1664" s="203">
        <f>SUM(K1664:L1664)</f>
        <v>250</v>
      </c>
      <c r="O1664" s="32"/>
      <c r="P1664" s="1138" t="s">
        <v>102</v>
      </c>
      <c r="Q1664" s="356"/>
      <c r="R1664" s="356"/>
      <c r="S1664" s="407"/>
      <c r="T1664" s="407"/>
      <c r="U1664" s="407"/>
      <c r="V1664" s="32"/>
      <c r="W1664" s="31" t="s">
        <v>1236</v>
      </c>
      <c r="X1664" s="16">
        <f t="shared" si="137"/>
        <v>250</v>
      </c>
      <c r="Y1664" s="16">
        <f t="shared" si="138"/>
        <v>0</v>
      </c>
    </row>
    <row r="1665" spans="2:25" s="31" customFormat="1" ht="15">
      <c r="B1665" s="72"/>
      <c r="C1665" s="182"/>
      <c r="D1665" s="419"/>
      <c r="E1665" s="182"/>
      <c r="F1665" s="72"/>
      <c r="G1665" s="72"/>
      <c r="H1665" s="1177"/>
      <c r="I1665" s="1177"/>
      <c r="K1665" s="203"/>
      <c r="L1665" s="203"/>
      <c r="M1665" s="203"/>
      <c r="O1665" s="32"/>
      <c r="P1665" s="32"/>
      <c r="Q1665" s="356"/>
      <c r="R1665" s="356"/>
      <c r="S1665" s="407"/>
      <c r="T1665" s="407"/>
      <c r="U1665" s="407"/>
      <c r="V1665" s="32"/>
      <c r="X1665" s="16">
        <f t="shared" si="137"/>
        <v>0</v>
      </c>
      <c r="Y1665" s="16">
        <f t="shared" si="138"/>
        <v>0</v>
      </c>
    </row>
    <row r="1666" spans="2:25" s="31" customFormat="1" ht="15">
      <c r="B1666" s="72"/>
      <c r="C1666" s="182"/>
      <c r="D1666" s="419"/>
      <c r="E1666" s="182"/>
      <c r="F1666" s="72"/>
      <c r="G1666" s="72"/>
      <c r="H1666" s="1177"/>
      <c r="I1666" s="1177"/>
      <c r="K1666" s="203"/>
      <c r="L1666" s="203"/>
      <c r="M1666" s="203"/>
      <c r="O1666" s="816"/>
      <c r="P1666" s="32"/>
      <c r="Q1666" s="356"/>
      <c r="R1666" s="356"/>
      <c r="S1666" s="873"/>
      <c r="T1666" s="873"/>
      <c r="U1666" s="873"/>
      <c r="V1666" s="32" t="s">
        <v>871</v>
      </c>
      <c r="X1666" s="16">
        <f t="shared" si="137"/>
        <v>0</v>
      </c>
      <c r="Y1666" s="16">
        <f t="shared" si="138"/>
        <v>0</v>
      </c>
    </row>
    <row r="1667" spans="2:25" s="31" customFormat="1" ht="45">
      <c r="B1667" s="550" t="s">
        <v>546</v>
      </c>
      <c r="C1667" s="1137" t="s">
        <v>1238</v>
      </c>
      <c r="D1667" s="13">
        <v>40857</v>
      </c>
      <c r="E1667" s="779" t="s">
        <v>3107</v>
      </c>
      <c r="F1667" s="371" t="s">
        <v>5243</v>
      </c>
      <c r="G1667" s="212"/>
      <c r="H1667" s="691">
        <v>123494</v>
      </c>
      <c r="I1667" s="691"/>
      <c r="J1667" s="14"/>
      <c r="K1667" s="10">
        <v>1000</v>
      </c>
      <c r="L1667" s="14"/>
      <c r="M1667" s="14">
        <f t="shared" si="135"/>
        <v>1000</v>
      </c>
      <c r="N1667" s="1179">
        <f t="shared" ref="N1667:N1673" si="139">M1667+H1667</f>
        <v>124494</v>
      </c>
      <c r="O1667" s="816"/>
      <c r="P1667" s="1138" t="s">
        <v>102</v>
      </c>
      <c r="Q1667" s="356"/>
      <c r="R1667" s="356"/>
      <c r="S1667" s="873"/>
      <c r="T1667" s="873"/>
      <c r="U1667" s="873"/>
      <c r="V1667" s="32" t="s">
        <v>871</v>
      </c>
      <c r="W1667" s="31" t="s">
        <v>1218</v>
      </c>
      <c r="X1667" s="16">
        <f t="shared" si="137"/>
        <v>1000</v>
      </c>
      <c r="Y1667" s="16">
        <f t="shared" si="138"/>
        <v>0</v>
      </c>
    </row>
    <row r="1668" spans="2:25" s="31" customFormat="1" ht="60">
      <c r="B1668" s="550" t="s">
        <v>546</v>
      </c>
      <c r="C1668" s="1137" t="s">
        <v>1239</v>
      </c>
      <c r="D1668" s="13">
        <v>40857</v>
      </c>
      <c r="E1668" s="779" t="s">
        <v>5245</v>
      </c>
      <c r="F1668" s="371" t="s">
        <v>5244</v>
      </c>
      <c r="G1668" s="212"/>
      <c r="H1668" s="691">
        <v>160913</v>
      </c>
      <c r="I1668" s="691"/>
      <c r="J1668" s="14"/>
      <c r="K1668" s="10">
        <v>4000</v>
      </c>
      <c r="L1668" s="14"/>
      <c r="M1668" s="14">
        <f t="shared" si="135"/>
        <v>4000</v>
      </c>
      <c r="N1668" s="1179">
        <f t="shared" si="139"/>
        <v>164913</v>
      </c>
      <c r="O1668" s="816"/>
      <c r="P1668" s="1138" t="s">
        <v>102</v>
      </c>
      <c r="Q1668" s="356"/>
      <c r="R1668" s="356"/>
      <c r="S1668" s="873"/>
      <c r="T1668" s="873"/>
      <c r="U1668" s="873"/>
      <c r="V1668" s="32" t="s">
        <v>871</v>
      </c>
      <c r="W1668" s="31" t="s">
        <v>1167</v>
      </c>
      <c r="X1668" s="16">
        <f t="shared" si="137"/>
        <v>4000</v>
      </c>
      <c r="Y1668" s="16">
        <f t="shared" si="138"/>
        <v>0</v>
      </c>
    </row>
    <row r="1669" spans="2:25" s="31" customFormat="1" ht="60">
      <c r="B1669" s="550" t="s">
        <v>546</v>
      </c>
      <c r="C1669" s="1137" t="s">
        <v>1240</v>
      </c>
      <c r="D1669" s="13">
        <v>40857</v>
      </c>
      <c r="E1669" s="779" t="s">
        <v>5247</v>
      </c>
      <c r="F1669" s="371" t="s">
        <v>5246</v>
      </c>
      <c r="G1669" s="212"/>
      <c r="H1669" s="691">
        <v>92815</v>
      </c>
      <c r="I1669" s="691"/>
      <c r="J1669" s="14"/>
      <c r="K1669" s="10">
        <v>100</v>
      </c>
      <c r="L1669" s="14"/>
      <c r="M1669" s="14">
        <f t="shared" si="135"/>
        <v>100</v>
      </c>
      <c r="N1669" s="1179">
        <f t="shared" si="139"/>
        <v>92915</v>
      </c>
      <c r="O1669" s="816"/>
      <c r="P1669" s="1138" t="s">
        <v>102</v>
      </c>
      <c r="Q1669" s="356"/>
      <c r="R1669" s="356"/>
      <c r="S1669" s="873"/>
      <c r="T1669" s="873"/>
      <c r="U1669" s="873"/>
      <c r="V1669" s="32" t="s">
        <v>871</v>
      </c>
      <c r="W1669" s="31" t="s">
        <v>1220</v>
      </c>
      <c r="X1669" s="16">
        <f t="shared" si="137"/>
        <v>100</v>
      </c>
      <c r="Y1669" s="16">
        <f t="shared" si="138"/>
        <v>0</v>
      </c>
    </row>
    <row r="1670" spans="2:25" s="31" customFormat="1" ht="60">
      <c r="B1670" s="550" t="s">
        <v>546</v>
      </c>
      <c r="C1670" s="1137" t="s">
        <v>1241</v>
      </c>
      <c r="D1670" s="13">
        <v>40863</v>
      </c>
      <c r="E1670" s="779" t="s">
        <v>3102</v>
      </c>
      <c r="F1670" s="371" t="s">
        <v>5248</v>
      </c>
      <c r="G1670" s="212"/>
      <c r="H1670" s="691">
        <v>129928</v>
      </c>
      <c r="I1670" s="691"/>
      <c r="J1670" s="14"/>
      <c r="K1670" s="10">
        <v>300</v>
      </c>
      <c r="L1670" s="14"/>
      <c r="M1670" s="14">
        <f t="shared" si="135"/>
        <v>300</v>
      </c>
      <c r="N1670" s="1179">
        <f t="shared" si="139"/>
        <v>130228</v>
      </c>
      <c r="O1670" s="816"/>
      <c r="P1670" s="1138" t="s">
        <v>102</v>
      </c>
      <c r="Q1670" s="356"/>
      <c r="R1670" s="356"/>
      <c r="S1670" s="873"/>
      <c r="T1670" s="873"/>
      <c r="U1670" s="873"/>
      <c r="V1670" s="32" t="s">
        <v>871</v>
      </c>
      <c r="W1670" s="31" t="s">
        <v>1220</v>
      </c>
      <c r="X1670" s="16">
        <f t="shared" si="137"/>
        <v>300</v>
      </c>
      <c r="Y1670" s="16">
        <f t="shared" si="138"/>
        <v>0</v>
      </c>
    </row>
    <row r="1671" spans="2:25" s="31" customFormat="1" ht="30">
      <c r="B1671" s="550" t="s">
        <v>546</v>
      </c>
      <c r="C1671" s="1137" t="s">
        <v>1242</v>
      </c>
      <c r="D1671" s="13">
        <v>40849</v>
      </c>
      <c r="E1671" s="779" t="s">
        <v>5250</v>
      </c>
      <c r="F1671" s="371" t="s">
        <v>5249</v>
      </c>
      <c r="G1671" s="212"/>
      <c r="H1671" s="691">
        <v>136159</v>
      </c>
      <c r="I1671" s="691"/>
      <c r="J1671" s="14"/>
      <c r="K1671" s="10">
        <v>450</v>
      </c>
      <c r="L1671" s="14"/>
      <c r="M1671" s="14">
        <f t="shared" si="135"/>
        <v>450</v>
      </c>
      <c r="N1671" s="1179">
        <f t="shared" si="139"/>
        <v>136609</v>
      </c>
      <c r="O1671" s="816"/>
      <c r="P1671" s="1138" t="s">
        <v>102</v>
      </c>
      <c r="Q1671" s="356"/>
      <c r="R1671" s="356"/>
      <c r="S1671" s="873"/>
      <c r="T1671" s="873"/>
      <c r="U1671" s="873"/>
      <c r="V1671" s="32" t="s">
        <v>871</v>
      </c>
      <c r="W1671" s="31" t="s">
        <v>872</v>
      </c>
      <c r="X1671" s="16">
        <f t="shared" si="137"/>
        <v>450</v>
      </c>
      <c r="Y1671" s="16">
        <f t="shared" si="138"/>
        <v>0</v>
      </c>
    </row>
    <row r="1672" spans="2:25" s="31" customFormat="1" ht="30">
      <c r="B1672" s="856"/>
      <c r="C1672" s="19" t="s">
        <v>1243</v>
      </c>
      <c r="D1672" s="29">
        <v>40899</v>
      </c>
      <c r="E1672" s="19" t="s">
        <v>5252</v>
      </c>
      <c r="F1672" s="390" t="s">
        <v>5251</v>
      </c>
      <c r="G1672" s="28"/>
      <c r="H1672" s="691">
        <v>62032</v>
      </c>
      <c r="I1672" s="691"/>
      <c r="J1672" s="21"/>
      <c r="K1672" s="21">
        <v>3500</v>
      </c>
      <c r="L1672" s="21">
        <v>1500</v>
      </c>
      <c r="M1672" s="22">
        <f>SUM(J1672:L1672)</f>
        <v>5000</v>
      </c>
      <c r="N1672" s="1179">
        <f t="shared" si="139"/>
        <v>67032</v>
      </c>
      <c r="O1672" s="816"/>
      <c r="P1672" s="1138" t="s">
        <v>102</v>
      </c>
      <c r="Q1672" s="356"/>
      <c r="R1672" s="356"/>
      <c r="S1672" s="873"/>
      <c r="T1672" s="873"/>
      <c r="U1672" s="873"/>
      <c r="V1672" s="32" t="s">
        <v>198</v>
      </c>
      <c r="W1672" s="31" t="s">
        <v>1172</v>
      </c>
      <c r="X1672" s="16">
        <f t="shared" si="137"/>
        <v>5000</v>
      </c>
      <c r="Y1672" s="16">
        <f t="shared" si="138"/>
        <v>0</v>
      </c>
    </row>
    <row r="1673" spans="2:25" s="31" customFormat="1" ht="60">
      <c r="B1673" s="1101" t="s">
        <v>5808</v>
      </c>
      <c r="C1673" s="182" t="s">
        <v>1244</v>
      </c>
      <c r="D1673" s="419">
        <v>40934</v>
      </c>
      <c r="E1673" s="182" t="s">
        <v>5254</v>
      </c>
      <c r="F1673" s="72" t="s">
        <v>5253</v>
      </c>
      <c r="G1673" s="72"/>
      <c r="H1673" s="356">
        <v>56150</v>
      </c>
      <c r="I1673" s="356"/>
      <c r="J1673" s="477"/>
      <c r="K1673" s="201">
        <v>2000</v>
      </c>
      <c r="L1673" s="201"/>
      <c r="M1673" s="203">
        <f t="shared" ref="M1673" si="140">SUM(K1673:L1673)</f>
        <v>2000</v>
      </c>
      <c r="N1673" s="475">
        <f t="shared" si="139"/>
        <v>58150</v>
      </c>
      <c r="O1673" s="32"/>
      <c r="P1673" s="1138" t="s">
        <v>102</v>
      </c>
      <c r="Q1673" s="356"/>
      <c r="R1673" s="356"/>
      <c r="S1673" s="407"/>
      <c r="T1673" s="407"/>
      <c r="U1673" s="407"/>
      <c r="V1673" s="32"/>
      <c r="W1673" s="31" t="s">
        <v>1223</v>
      </c>
      <c r="X1673" s="16">
        <f t="shared" si="137"/>
        <v>2000</v>
      </c>
      <c r="Y1673" s="16">
        <f t="shared" ref="Y1673" si="141">X1673-M1673</f>
        <v>0</v>
      </c>
    </row>
    <row r="1674" spans="2:25" s="740" customFormat="1" ht="45">
      <c r="B1674" s="553" t="s">
        <v>933</v>
      </c>
      <c r="C1674" s="649" t="s">
        <v>934</v>
      </c>
      <c r="D1674" s="444">
        <v>41191</v>
      </c>
      <c r="E1674" s="647" t="s">
        <v>3107</v>
      </c>
      <c r="F1674" s="443" t="s">
        <v>5255</v>
      </c>
      <c r="G1674" s="353"/>
      <c r="H1674" s="283"/>
      <c r="I1674" s="283"/>
      <c r="J1674" s="453"/>
      <c r="K1674" s="453">
        <v>250</v>
      </c>
      <c r="L1674" s="452"/>
      <c r="M1674" s="454">
        <f>SUM(J1674:L1674)</f>
        <v>250</v>
      </c>
      <c r="N1674" s="286"/>
      <c r="O1674" s="58"/>
      <c r="P1674" s="32"/>
      <c r="Q1674" s="93"/>
      <c r="R1674" s="93"/>
      <c r="S1674" s="927"/>
      <c r="T1674" s="927"/>
      <c r="U1674" s="927"/>
      <c r="V1674" s="21"/>
      <c r="X1674" s="401"/>
      <c r="Y1674" s="401"/>
    </row>
    <row r="1675" spans="2:25" s="740" customFormat="1" ht="60">
      <c r="B1675" s="553" t="s">
        <v>935</v>
      </c>
      <c r="C1675" s="649" t="s">
        <v>936</v>
      </c>
      <c r="D1675" s="444">
        <v>41191</v>
      </c>
      <c r="E1675" s="647" t="s">
        <v>5213</v>
      </c>
      <c r="F1675" s="443" t="s">
        <v>5256</v>
      </c>
      <c r="G1675" s="353"/>
      <c r="H1675" s="283"/>
      <c r="I1675" s="283"/>
      <c r="J1675" s="453"/>
      <c r="K1675" s="453">
        <v>250</v>
      </c>
      <c r="L1675" s="452"/>
      <c r="M1675" s="454">
        <f>SUM(J1675:L1675)</f>
        <v>250</v>
      </c>
      <c r="N1675" s="286"/>
      <c r="O1675" s="58"/>
      <c r="P1675" s="164"/>
      <c r="Q1675" s="93"/>
      <c r="R1675" s="93"/>
      <c r="S1675" s="927"/>
      <c r="T1675" s="927"/>
      <c r="U1675" s="927"/>
      <c r="V1675" s="21"/>
      <c r="X1675" s="401"/>
      <c r="Y1675" s="401"/>
    </row>
    <row r="1676" spans="2:25" s="740" customFormat="1" ht="60">
      <c r="B1676" s="553" t="s">
        <v>937</v>
      </c>
      <c r="C1676" s="649" t="s">
        <v>938</v>
      </c>
      <c r="D1676" s="444">
        <v>41191</v>
      </c>
      <c r="E1676" s="647" t="s">
        <v>5240</v>
      </c>
      <c r="F1676" s="443" t="s">
        <v>5239</v>
      </c>
      <c r="G1676" s="353"/>
      <c r="H1676" s="283"/>
      <c r="I1676" s="283"/>
      <c r="J1676" s="453"/>
      <c r="K1676" s="453">
        <v>500</v>
      </c>
      <c r="L1676" s="452"/>
      <c r="M1676" s="454">
        <f>SUM(J1676:L1676)</f>
        <v>500</v>
      </c>
      <c r="N1676" s="286"/>
      <c r="O1676" s="58"/>
      <c r="P1676" s="164"/>
      <c r="Q1676" s="93"/>
      <c r="R1676" s="93"/>
      <c r="S1676" s="927"/>
      <c r="T1676" s="927"/>
      <c r="U1676" s="927"/>
      <c r="V1676" s="21"/>
      <c r="X1676" s="401"/>
      <c r="Y1676" s="401"/>
    </row>
    <row r="1677" spans="2:25" s="740" customFormat="1" ht="60">
      <c r="B1677" s="553" t="s">
        <v>939</v>
      </c>
      <c r="C1677" s="649" t="s">
        <v>940</v>
      </c>
      <c r="D1677" s="444">
        <v>41191</v>
      </c>
      <c r="E1677" s="647" t="s">
        <v>5238</v>
      </c>
      <c r="F1677" s="526" t="s">
        <v>5257</v>
      </c>
      <c r="G1677" s="353"/>
      <c r="H1677" s="283"/>
      <c r="I1677" s="283"/>
      <c r="J1677" s="453"/>
      <c r="K1677" s="453">
        <v>-2500</v>
      </c>
      <c r="L1677" s="452"/>
      <c r="M1677" s="454">
        <f t="shared" ref="M1677:M1679" si="142">SUM(J1677:L1677)</f>
        <v>-2500</v>
      </c>
      <c r="N1677" s="286"/>
      <c r="O1677" s="58"/>
      <c r="P1677" s="164"/>
      <c r="Q1677" s="93"/>
      <c r="R1677" s="93"/>
      <c r="S1677" s="927"/>
      <c r="T1677" s="927"/>
      <c r="U1677" s="927"/>
      <c r="V1677" s="21"/>
      <c r="X1677" s="401"/>
      <c r="Y1677" s="401"/>
    </row>
    <row r="1678" spans="2:25" s="740" customFormat="1" ht="60">
      <c r="B1678" s="553" t="s">
        <v>939</v>
      </c>
      <c r="C1678" s="647" t="s">
        <v>941</v>
      </c>
      <c r="D1678" s="527">
        <v>41191</v>
      </c>
      <c r="E1678" s="647" t="s">
        <v>5238</v>
      </c>
      <c r="F1678" s="526" t="s">
        <v>5257</v>
      </c>
      <c r="G1678" s="353"/>
      <c r="H1678" s="283"/>
      <c r="I1678" s="283"/>
      <c r="J1678" s="453"/>
      <c r="K1678" s="453">
        <v>500</v>
      </c>
      <c r="L1678" s="452"/>
      <c r="M1678" s="768">
        <f>SUM(J1678:L1678)</f>
        <v>500</v>
      </c>
      <c r="N1678" s="286"/>
      <c r="O1678" s="58"/>
      <c r="P1678" s="164"/>
      <c r="Q1678" s="93"/>
      <c r="R1678" s="93"/>
      <c r="S1678" s="927"/>
      <c r="T1678" s="927"/>
      <c r="U1678" s="927"/>
      <c r="V1678" s="21"/>
      <c r="X1678" s="401"/>
      <c r="Y1678" s="401"/>
    </row>
    <row r="1679" spans="2:25" s="740" customFormat="1" ht="60">
      <c r="B1679" s="553" t="s">
        <v>942</v>
      </c>
      <c r="C1679" s="647" t="s">
        <v>943</v>
      </c>
      <c r="D1679" s="527">
        <v>41191</v>
      </c>
      <c r="E1679" s="647" t="s">
        <v>5259</v>
      </c>
      <c r="F1679" s="443" t="s">
        <v>5258</v>
      </c>
      <c r="G1679" s="353"/>
      <c r="H1679" s="283"/>
      <c r="I1679" s="283"/>
      <c r="J1679" s="453"/>
      <c r="K1679" s="453">
        <v>500</v>
      </c>
      <c r="L1679" s="452"/>
      <c r="M1679" s="768">
        <f t="shared" si="142"/>
        <v>500</v>
      </c>
      <c r="N1679" s="35"/>
      <c r="O1679" s="58"/>
      <c r="P1679" s="108"/>
      <c r="Q1679" s="93">
        <v>500</v>
      </c>
      <c r="R1679" s="93">
        <v>500</v>
      </c>
      <c r="S1679" s="927"/>
      <c r="T1679" s="927"/>
      <c r="U1679" s="927"/>
      <c r="V1679" s="21"/>
      <c r="X1679" s="401"/>
      <c r="Y1679" s="401"/>
    </row>
    <row r="1680" spans="2:25" s="740" customFormat="1" ht="15.95" customHeight="1">
      <c r="B1680" s="447"/>
      <c r="C1680" s="649"/>
      <c r="D1680" s="444"/>
      <c r="E1680" s="647"/>
      <c r="F1680" s="353"/>
      <c r="G1680" s="353"/>
      <c r="H1680" s="283"/>
      <c r="I1680" s="283"/>
      <c r="J1680" s="453"/>
      <c r="K1680" s="453"/>
      <c r="L1680" s="452"/>
      <c r="M1680" s="452"/>
      <c r="N1680" s="286"/>
      <c r="O1680" s="58"/>
      <c r="P1680" s="164"/>
      <c r="Q1680" s="93"/>
      <c r="R1680" s="93"/>
      <c r="S1680" s="927"/>
      <c r="T1680" s="927"/>
      <c r="U1680" s="927"/>
      <c r="V1680" s="21"/>
      <c r="X1680" s="401"/>
      <c r="Y1680" s="401"/>
    </row>
    <row r="1681" spans="1:25" s="740" customFormat="1" ht="15.95" customHeight="1">
      <c r="B1681" s="447"/>
      <c r="C1681" s="649"/>
      <c r="D1681" s="444"/>
      <c r="E1681" s="647"/>
      <c r="F1681" s="353"/>
      <c r="G1681" s="353"/>
      <c r="H1681" s="283"/>
      <c r="I1681" s="283"/>
      <c r="J1681" s="453"/>
      <c r="K1681" s="453"/>
      <c r="L1681" s="452"/>
      <c r="M1681" s="452"/>
      <c r="N1681" s="286"/>
      <c r="O1681" s="58"/>
      <c r="P1681" s="164"/>
      <c r="Q1681" s="93"/>
      <c r="R1681" s="93"/>
      <c r="S1681" s="927"/>
      <c r="T1681" s="927"/>
      <c r="U1681" s="927"/>
      <c r="V1681" s="21"/>
      <c r="X1681" s="401"/>
      <c r="Y1681" s="401"/>
    </row>
    <row r="1682" spans="1:25" s="231" customFormat="1" ht="25.5" customHeight="1">
      <c r="A1682" s="237"/>
      <c r="B1682" s="366" t="s">
        <v>1245</v>
      </c>
      <c r="C1682" s="179"/>
      <c r="D1682" s="699"/>
      <c r="E1682" s="1137"/>
      <c r="F1682" s="698"/>
      <c r="G1682" s="236"/>
      <c r="H1682" s="469">
        <v>48152488</v>
      </c>
      <c r="I1682" s="469"/>
      <c r="J1682" s="700">
        <f>SUM(J1683:J1684)</f>
        <v>0</v>
      </c>
      <c r="K1682" s="700">
        <f>SUM(K1683:K1684)</f>
        <v>5000</v>
      </c>
      <c r="L1682" s="700">
        <f>SUM(L1683:L1684)</f>
        <v>0</v>
      </c>
      <c r="M1682" s="700">
        <f>SUM(M1683:M1684)</f>
        <v>5000</v>
      </c>
      <c r="N1682" s="7"/>
      <c r="O1682" s="1137"/>
      <c r="P1682" s="164"/>
      <c r="Q1682" s="700">
        <f t="shared" ref="Q1682:R1682" si="143">SUM(Q1683:Q1684)</f>
        <v>0</v>
      </c>
      <c r="R1682" s="700">
        <f t="shared" si="143"/>
        <v>0</v>
      </c>
      <c r="S1682" s="403"/>
      <c r="T1682" s="403"/>
      <c r="U1682" s="403"/>
      <c r="V1682" s="1126" t="s">
        <v>517</v>
      </c>
      <c r="X1682" s="16">
        <f t="shared" ref="X1682:X1700" si="144">SUM(J1682:L1682)</f>
        <v>5000</v>
      </c>
      <c r="Y1682" s="16">
        <f t="shared" ref="Y1682:Y1710" si="145">X1682-M1682</f>
        <v>0</v>
      </c>
    </row>
    <row r="1683" spans="1:25" s="231" customFormat="1" ht="150">
      <c r="A1683" s="237"/>
      <c r="B1683" s="358" t="s">
        <v>1247</v>
      </c>
      <c r="C1683" s="189" t="s">
        <v>1248</v>
      </c>
      <c r="D1683" s="190">
        <v>40884</v>
      </c>
      <c r="E1683" s="1126" t="s">
        <v>5261</v>
      </c>
      <c r="F1683" s="72" t="s">
        <v>5260</v>
      </c>
      <c r="G1683" s="360"/>
      <c r="H1683" s="76"/>
      <c r="I1683" s="76"/>
      <c r="J1683" s="14"/>
      <c r="K1683" s="14">
        <v>5000</v>
      </c>
      <c r="L1683" s="14"/>
      <c r="M1683" s="68">
        <f>SUM(K1683:L1683)</f>
        <v>5000</v>
      </c>
      <c r="N1683" s="14"/>
      <c r="O1683" s="1137"/>
      <c r="P1683" s="1138" t="s">
        <v>102</v>
      </c>
      <c r="Q1683" s="216"/>
      <c r="R1683" s="216"/>
      <c r="S1683" s="403"/>
      <c r="T1683" s="403"/>
      <c r="U1683" s="403"/>
      <c r="V1683" s="1126"/>
      <c r="W1683" s="14" t="s">
        <v>1246</v>
      </c>
      <c r="X1683" s="16">
        <f t="shared" si="144"/>
        <v>5000</v>
      </c>
      <c r="Y1683" s="16">
        <f t="shared" si="145"/>
        <v>0</v>
      </c>
    </row>
    <row r="1684" spans="1:25" s="362" customFormat="1" ht="18.75" customHeight="1">
      <c r="A1684" s="549"/>
      <c r="B1684" s="358"/>
      <c r="C1684" s="189"/>
      <c r="D1684" s="190"/>
      <c r="E1684" s="1126"/>
      <c r="F1684" s="72"/>
      <c r="G1684" s="360"/>
      <c r="H1684" s="67"/>
      <c r="I1684" s="67"/>
      <c r="J1684" s="14"/>
      <c r="K1684" s="14"/>
      <c r="L1684" s="14"/>
      <c r="M1684" s="68"/>
      <c r="N1684" s="14"/>
      <c r="O1684" s="1140"/>
      <c r="P1684" s="1137"/>
      <c r="Q1684" s="216"/>
      <c r="R1684" s="216"/>
      <c r="S1684" s="403"/>
      <c r="T1684" s="403"/>
      <c r="U1684" s="403"/>
      <c r="V1684" s="348"/>
      <c r="W1684" s="187"/>
      <c r="X1684" s="16">
        <f t="shared" si="144"/>
        <v>0</v>
      </c>
      <c r="Y1684" s="16">
        <f t="shared" si="145"/>
        <v>0</v>
      </c>
    </row>
    <row r="1685" spans="1:25" s="16" customFormat="1" ht="15">
      <c r="A1685" s="236"/>
      <c r="B1685" s="850" t="s">
        <v>1249</v>
      </c>
      <c r="C1685" s="463"/>
      <c r="D1685" s="464"/>
      <c r="E1685" s="1126"/>
      <c r="F1685" s="432"/>
      <c r="G1685" s="347"/>
      <c r="H1685" s="93"/>
      <c r="I1685" s="93"/>
      <c r="J1685" s="100">
        <f>SUM(J1686:J1688)</f>
        <v>0</v>
      </c>
      <c r="K1685" s="100">
        <f>SUM(K1686:K1688)</f>
        <v>2000</v>
      </c>
      <c r="L1685" s="100">
        <f>SUM(L1686:L1688)</f>
        <v>0</v>
      </c>
      <c r="M1685" s="100">
        <f>SUM(M1686:M1688)</f>
        <v>2000</v>
      </c>
      <c r="N1685" s="187"/>
      <c r="O1685" s="1136"/>
      <c r="P1685" s="1140"/>
      <c r="Q1685" s="100">
        <f t="shared" ref="Q1685:R1685" si="146">SUM(Q1686:Q1688)</f>
        <v>0</v>
      </c>
      <c r="R1685" s="100">
        <f t="shared" si="146"/>
        <v>0</v>
      </c>
      <c r="S1685" s="876"/>
      <c r="T1685" s="876"/>
      <c r="U1685" s="876"/>
      <c r="W1685" s="14"/>
      <c r="X1685" s="16">
        <f t="shared" si="144"/>
        <v>2000</v>
      </c>
      <c r="Y1685" s="16">
        <f t="shared" si="145"/>
        <v>0</v>
      </c>
    </row>
    <row r="1686" spans="1:25" s="16" customFormat="1" ht="15">
      <c r="A1686" s="236"/>
      <c r="B1686" s="470" t="s">
        <v>1250</v>
      </c>
      <c r="C1686" s="189"/>
      <c r="D1686" s="190"/>
      <c r="E1686" s="23"/>
      <c r="F1686" s="72"/>
      <c r="G1686" s="360"/>
      <c r="H1686" s="10"/>
      <c r="I1686" s="10"/>
      <c r="J1686" s="14"/>
      <c r="K1686" s="10"/>
      <c r="L1686" s="10"/>
      <c r="M1686" s="10"/>
      <c r="N1686" s="10"/>
      <c r="O1686" s="1136"/>
      <c r="P1686" s="1126"/>
      <c r="Q1686" s="93"/>
      <c r="R1686" s="93"/>
      <c r="S1686" s="876"/>
      <c r="T1686" s="876"/>
      <c r="U1686" s="876"/>
      <c r="W1686" s="14"/>
      <c r="X1686" s="16">
        <f t="shared" si="144"/>
        <v>0</v>
      </c>
      <c r="Y1686" s="16">
        <f t="shared" si="145"/>
        <v>0</v>
      </c>
    </row>
    <row r="1687" spans="1:25" s="16" customFormat="1" ht="45">
      <c r="A1687" s="236"/>
      <c r="B1687" s="1101" t="s">
        <v>1251</v>
      </c>
      <c r="C1687" s="182" t="s">
        <v>1252</v>
      </c>
      <c r="D1687" s="419">
        <v>40975</v>
      </c>
      <c r="E1687" s="182" t="s">
        <v>5263</v>
      </c>
      <c r="F1687" s="72" t="s">
        <v>5262</v>
      </c>
      <c r="G1687" s="14"/>
      <c r="H1687" s="10">
        <v>731178</v>
      </c>
      <c r="I1687" s="10"/>
      <c r="J1687" s="14"/>
      <c r="K1687" s="203">
        <v>2000</v>
      </c>
      <c r="L1687" s="14"/>
      <c r="M1687" s="14">
        <f>SUM(K1687:L1687)</f>
        <v>2000</v>
      </c>
      <c r="N1687" s="10">
        <f>M1687+H1687</f>
        <v>733178</v>
      </c>
      <c r="O1687" s="154"/>
      <c r="P1687" s="1138" t="s">
        <v>102</v>
      </c>
      <c r="Q1687" s="243"/>
      <c r="R1687" s="243"/>
      <c r="S1687" s="1344" t="s">
        <v>4629</v>
      </c>
      <c r="T1687" s="1344"/>
      <c r="U1687" s="1344"/>
      <c r="W1687" s="14" t="s">
        <v>4630</v>
      </c>
      <c r="X1687" s="16">
        <f t="shared" si="144"/>
        <v>2000</v>
      </c>
      <c r="Y1687" s="16">
        <f t="shared" si="145"/>
        <v>0</v>
      </c>
    </row>
    <row r="1688" spans="1:25" s="16" customFormat="1" ht="15">
      <c r="A1688" s="236"/>
      <c r="B1688" s="1101"/>
      <c r="C1688" s="77"/>
      <c r="D1688" s="78"/>
      <c r="E1688" s="182"/>
      <c r="F1688" s="72"/>
      <c r="G1688" s="1103"/>
      <c r="H1688" s="74"/>
      <c r="I1688" s="74"/>
      <c r="J1688" s="79"/>
      <c r="K1688" s="74"/>
      <c r="L1688" s="74"/>
      <c r="M1688" s="74"/>
      <c r="N1688" s="74"/>
      <c r="O1688" s="1136"/>
      <c r="P1688" s="1137"/>
      <c r="Q1688" s="93"/>
      <c r="R1688" s="93"/>
      <c r="S1688" s="876"/>
      <c r="T1688" s="876"/>
      <c r="U1688" s="876"/>
      <c r="W1688" s="14"/>
      <c r="X1688" s="16">
        <f t="shared" si="144"/>
        <v>0</v>
      </c>
      <c r="Y1688" s="16">
        <f t="shared" si="145"/>
        <v>0</v>
      </c>
    </row>
    <row r="1689" spans="1:25" s="31" customFormat="1" ht="15" customHeight="1">
      <c r="B1689" s="850" t="s">
        <v>140</v>
      </c>
      <c r="C1689" s="189"/>
      <c r="D1689" s="190"/>
      <c r="E1689" s="1126"/>
      <c r="F1689" s="12"/>
      <c r="G1689" s="14"/>
      <c r="H1689" s="10"/>
      <c r="I1689" s="10"/>
      <c r="J1689" s="7">
        <f>J1690</f>
        <v>0</v>
      </c>
      <c r="K1689" s="7">
        <f t="shared" ref="K1689:M1689" si="147">K1690</f>
        <v>37550</v>
      </c>
      <c r="L1689" s="7">
        <f t="shared" si="147"/>
        <v>0</v>
      </c>
      <c r="M1689" s="7">
        <f t="shared" si="147"/>
        <v>37550</v>
      </c>
      <c r="N1689" s="10"/>
      <c r="O1689" s="733"/>
      <c r="P1689" s="1137"/>
      <c r="Q1689" s="7">
        <f t="shared" ref="Q1689:R1689" si="148">Q1690</f>
        <v>7352</v>
      </c>
      <c r="R1689" s="7">
        <f t="shared" si="148"/>
        <v>34260.474999999999</v>
      </c>
      <c r="S1689" s="894"/>
      <c r="T1689" s="894"/>
      <c r="U1689" s="894"/>
      <c r="V1689" s="32"/>
      <c r="W1689" s="32"/>
      <c r="X1689" s="16">
        <f t="shared" si="144"/>
        <v>37550</v>
      </c>
      <c r="Y1689" s="16">
        <f t="shared" si="145"/>
        <v>0</v>
      </c>
    </row>
    <row r="1690" spans="1:25" s="31" customFormat="1" ht="15">
      <c r="B1690" s="248" t="s">
        <v>224</v>
      </c>
      <c r="C1690" s="32"/>
      <c r="D1690" s="671"/>
      <c r="E1690" s="77"/>
      <c r="H1690" s="730"/>
      <c r="I1690" s="730"/>
      <c r="J1690" s="896">
        <f>SUM(J1691:J1703)</f>
        <v>0</v>
      </c>
      <c r="K1690" s="896">
        <f t="shared" ref="K1690:M1690" si="149">SUM(K1691:K1703)</f>
        <v>37550</v>
      </c>
      <c r="L1690" s="896">
        <f t="shared" si="149"/>
        <v>0</v>
      </c>
      <c r="M1690" s="896">
        <f t="shared" si="149"/>
        <v>37550</v>
      </c>
      <c r="N1690" s="730"/>
      <c r="O1690" s="117"/>
      <c r="P1690" s="32"/>
      <c r="Q1690" s="896">
        <f t="shared" ref="Q1690:R1690" si="150">SUM(Q1691:Q1703)</f>
        <v>7352</v>
      </c>
      <c r="R1690" s="896">
        <f t="shared" si="150"/>
        <v>34260.474999999999</v>
      </c>
      <c r="S1690" s="931"/>
      <c r="T1690" s="931"/>
      <c r="U1690" s="931"/>
      <c r="V1690" s="32" t="s">
        <v>517</v>
      </c>
      <c r="X1690" s="16">
        <f t="shared" si="144"/>
        <v>37550</v>
      </c>
      <c r="Y1690" s="16">
        <f t="shared" si="145"/>
        <v>0</v>
      </c>
    </row>
    <row r="1691" spans="1:25" s="31" customFormat="1" ht="135">
      <c r="B1691" s="841" t="s">
        <v>1254</v>
      </c>
      <c r="C1691" s="1137" t="s">
        <v>1255</v>
      </c>
      <c r="D1691" s="13">
        <v>40899</v>
      </c>
      <c r="E1691" s="1138" t="s">
        <v>5265</v>
      </c>
      <c r="F1691" s="1129" t="s">
        <v>5264</v>
      </c>
      <c r="G1691" s="1134"/>
      <c r="H1691" s="268"/>
      <c r="I1691" s="268"/>
      <c r="J1691" s="117"/>
      <c r="K1691" s="1136">
        <v>2000</v>
      </c>
      <c r="L1691" s="117"/>
      <c r="M1691" s="1137">
        <f t="shared" ref="M1691:M1693" si="151">SUM(J1691:L1691)</f>
        <v>2000</v>
      </c>
      <c r="N1691" s="117"/>
      <c r="O1691" s="117"/>
      <c r="P1691" s="1138" t="s">
        <v>102</v>
      </c>
      <c r="Q1691" s="1127"/>
      <c r="R1691" s="1127">
        <v>1596</v>
      </c>
      <c r="S1691" s="1389" t="s">
        <v>6109</v>
      </c>
      <c r="T1691" s="1389"/>
      <c r="U1691" s="1389"/>
      <c r="V1691" s="32" t="s">
        <v>517</v>
      </c>
      <c r="W1691" s="31" t="s">
        <v>1253</v>
      </c>
      <c r="X1691" s="16">
        <f t="shared" si="144"/>
        <v>2000</v>
      </c>
      <c r="Y1691" s="16">
        <f t="shared" si="145"/>
        <v>0</v>
      </c>
    </row>
    <row r="1692" spans="1:25" s="31" customFormat="1" ht="135">
      <c r="B1692" s="1131" t="s">
        <v>1256</v>
      </c>
      <c r="C1692" s="1137" t="s">
        <v>1257</v>
      </c>
      <c r="D1692" s="690">
        <v>40849</v>
      </c>
      <c r="E1692" s="779" t="s">
        <v>5266</v>
      </c>
      <c r="F1692" s="689" t="s">
        <v>5264</v>
      </c>
      <c r="G1692" s="360"/>
      <c r="H1692" s="268"/>
      <c r="I1692" s="268"/>
      <c r="J1692" s="6"/>
      <c r="K1692" s="10">
        <v>3000</v>
      </c>
      <c r="L1692" s="6"/>
      <c r="M1692" s="14">
        <f t="shared" si="151"/>
        <v>3000</v>
      </c>
      <c r="N1692" s="117"/>
      <c r="O1692" s="117"/>
      <c r="P1692" s="1138" t="s">
        <v>102</v>
      </c>
      <c r="Q1692" s="1127"/>
      <c r="R1692" s="1127">
        <v>2946</v>
      </c>
      <c r="S1692" s="1343" t="s">
        <v>6110</v>
      </c>
      <c r="T1692" s="1343"/>
      <c r="U1692" s="1343"/>
      <c r="V1692" s="32" t="s">
        <v>517</v>
      </c>
      <c r="W1692" s="31" t="s">
        <v>1253</v>
      </c>
      <c r="X1692" s="16">
        <f t="shared" si="144"/>
        <v>3000</v>
      </c>
      <c r="Y1692" s="16">
        <f t="shared" si="145"/>
        <v>0</v>
      </c>
    </row>
    <row r="1693" spans="1:25" s="31" customFormat="1" ht="135">
      <c r="B1693" s="1131" t="s">
        <v>1258</v>
      </c>
      <c r="C1693" s="1137" t="s">
        <v>1259</v>
      </c>
      <c r="D1693" s="690">
        <v>40863</v>
      </c>
      <c r="E1693" s="779" t="s">
        <v>5265</v>
      </c>
      <c r="F1693" s="689" t="s">
        <v>5264</v>
      </c>
      <c r="G1693" s="360"/>
      <c r="H1693" s="268"/>
      <c r="I1693" s="268"/>
      <c r="J1693" s="6"/>
      <c r="K1693" s="1136">
        <v>3000</v>
      </c>
      <c r="L1693" s="6"/>
      <c r="M1693" s="1137">
        <f t="shared" si="151"/>
        <v>3000</v>
      </c>
      <c r="N1693" s="117"/>
      <c r="O1693" s="812"/>
      <c r="P1693" s="1138" t="s">
        <v>102</v>
      </c>
      <c r="Q1693" s="243"/>
      <c r="R1693" s="243">
        <v>3000</v>
      </c>
      <c r="S1693" s="1344" t="s">
        <v>6111</v>
      </c>
      <c r="T1693" s="1344"/>
      <c r="U1693" s="1344"/>
      <c r="V1693" s="32" t="s">
        <v>517</v>
      </c>
      <c r="W1693" s="31" t="s">
        <v>1253</v>
      </c>
      <c r="X1693" s="16">
        <f t="shared" si="144"/>
        <v>3000</v>
      </c>
      <c r="Y1693" s="16">
        <f t="shared" si="145"/>
        <v>0</v>
      </c>
    </row>
    <row r="1694" spans="1:25" s="31" customFormat="1" ht="135">
      <c r="B1694" s="1101" t="s">
        <v>1260</v>
      </c>
      <c r="C1694" s="77" t="s">
        <v>1261</v>
      </c>
      <c r="D1694" s="78">
        <v>40995</v>
      </c>
      <c r="E1694" s="182" t="s">
        <v>5266</v>
      </c>
      <c r="F1694" s="1103" t="s">
        <v>5264</v>
      </c>
      <c r="G1694" s="1103"/>
      <c r="H1694" s="268"/>
      <c r="I1694" s="268"/>
      <c r="K1694" s="74">
        <v>3000</v>
      </c>
      <c r="L1694" s="74"/>
      <c r="M1694" s="74">
        <f>SUM(K1694:L1694)</f>
        <v>3000</v>
      </c>
      <c r="N1694" s="357"/>
      <c r="O1694" s="812"/>
      <c r="P1694" s="1138" t="s">
        <v>102</v>
      </c>
      <c r="Q1694" s="243"/>
      <c r="R1694" s="243">
        <v>3000</v>
      </c>
      <c r="S1694" s="1344" t="s">
        <v>6111</v>
      </c>
      <c r="T1694" s="1344"/>
      <c r="U1694" s="1344"/>
      <c r="V1694" s="32"/>
      <c r="W1694" s="31" t="s">
        <v>895</v>
      </c>
      <c r="X1694" s="16">
        <f t="shared" si="144"/>
        <v>3000</v>
      </c>
      <c r="Y1694" s="16">
        <f t="shared" si="145"/>
        <v>0</v>
      </c>
    </row>
    <row r="1695" spans="1:25" s="31" customFormat="1" ht="15">
      <c r="B1695" s="1101"/>
      <c r="C1695" s="77"/>
      <c r="D1695" s="78"/>
      <c r="E1695" s="182"/>
      <c r="F1695" s="1103"/>
      <c r="G1695" s="1103"/>
      <c r="H1695" s="1130"/>
      <c r="I1695" s="1130"/>
      <c r="K1695" s="74"/>
      <c r="L1695" s="74"/>
      <c r="M1695" s="74"/>
      <c r="N1695" s="357"/>
      <c r="O1695" s="812"/>
      <c r="P1695" s="32"/>
      <c r="Q1695" s="243"/>
      <c r="R1695" s="243"/>
      <c r="S1695" s="515"/>
      <c r="T1695" s="515"/>
      <c r="U1695" s="515"/>
      <c r="V1695" s="32" t="s">
        <v>517</v>
      </c>
      <c r="X1695" s="16">
        <f t="shared" si="144"/>
        <v>0</v>
      </c>
      <c r="Y1695" s="16">
        <f t="shared" si="145"/>
        <v>0</v>
      </c>
    </row>
    <row r="1696" spans="1:25" s="31" customFormat="1" ht="135">
      <c r="B1696" s="1101" t="s">
        <v>1262</v>
      </c>
      <c r="C1696" s="77" t="s">
        <v>1263</v>
      </c>
      <c r="D1696" s="78">
        <v>41016</v>
      </c>
      <c r="E1696" s="182" t="s">
        <v>5268</v>
      </c>
      <c r="F1696" s="1103" t="s">
        <v>5267</v>
      </c>
      <c r="G1696" s="1103"/>
      <c r="H1696" s="357">
        <v>58386</v>
      </c>
      <c r="I1696" s="357"/>
      <c r="K1696" s="74">
        <v>4800</v>
      </c>
      <c r="L1696" s="74"/>
      <c r="M1696" s="74">
        <f>SUM(K1696:L1696)</f>
        <v>4800</v>
      </c>
      <c r="N1696" s="74">
        <f>M1696+H1696</f>
        <v>63186</v>
      </c>
      <c r="O1696" s="244"/>
      <c r="P1696" s="1138" t="s">
        <v>102</v>
      </c>
      <c r="Q1696" s="243">
        <v>4800</v>
      </c>
      <c r="R1696" s="243">
        <v>4800</v>
      </c>
      <c r="S1696" s="1333" t="s">
        <v>6112</v>
      </c>
      <c r="T1696" s="1333"/>
      <c r="U1696" s="1333"/>
      <c r="V1696" s="32" t="s">
        <v>517</v>
      </c>
      <c r="W1696" s="31" t="s">
        <v>895</v>
      </c>
      <c r="X1696" s="16">
        <f t="shared" si="144"/>
        <v>4800</v>
      </c>
      <c r="Y1696" s="16">
        <f t="shared" si="145"/>
        <v>0</v>
      </c>
    </row>
    <row r="1697" spans="1:25" s="31" customFormat="1" ht="30">
      <c r="B1697" s="1101" t="s">
        <v>1264</v>
      </c>
      <c r="C1697" s="77" t="s">
        <v>1265</v>
      </c>
      <c r="D1697" s="78">
        <v>40934</v>
      </c>
      <c r="E1697" s="182" t="s">
        <v>5270</v>
      </c>
      <c r="F1697" s="1103" t="s">
        <v>5269</v>
      </c>
      <c r="G1697" s="1103"/>
      <c r="H1697" s="357">
        <v>28440</v>
      </c>
      <c r="I1697" s="357"/>
      <c r="K1697" s="74">
        <v>2500</v>
      </c>
      <c r="L1697" s="74"/>
      <c r="M1697" s="74">
        <f>SUM(K1697:L1697)</f>
        <v>2500</v>
      </c>
      <c r="N1697" s="186">
        <f>M1697+H1697</f>
        <v>30940</v>
      </c>
      <c r="O1697" s="244"/>
      <c r="P1697" s="1138" t="s">
        <v>102</v>
      </c>
      <c r="Q1697" s="243">
        <v>2303</v>
      </c>
      <c r="R1697" s="243">
        <v>2303.4749999999999</v>
      </c>
      <c r="S1697" s="1333" t="s">
        <v>6113</v>
      </c>
      <c r="T1697" s="1333"/>
      <c r="U1697" s="1333"/>
      <c r="V1697" s="32" t="s">
        <v>517</v>
      </c>
      <c r="W1697" s="31" t="s">
        <v>895</v>
      </c>
      <c r="X1697" s="16">
        <f t="shared" si="144"/>
        <v>2500</v>
      </c>
      <c r="Y1697" s="16">
        <f t="shared" si="145"/>
        <v>0</v>
      </c>
    </row>
    <row r="1698" spans="1:25" s="31" customFormat="1" ht="45">
      <c r="B1698" s="1101" t="s">
        <v>1266</v>
      </c>
      <c r="C1698" s="77" t="s">
        <v>1267</v>
      </c>
      <c r="D1698" s="78">
        <v>40995</v>
      </c>
      <c r="E1698" s="182" t="s">
        <v>5272</v>
      </c>
      <c r="F1698" s="1103" t="s">
        <v>5271</v>
      </c>
      <c r="G1698" s="1103"/>
      <c r="H1698" s="357">
        <v>48627</v>
      </c>
      <c r="I1698" s="357"/>
      <c r="K1698" s="74">
        <v>250</v>
      </c>
      <c r="L1698" s="74"/>
      <c r="M1698" s="74">
        <f>SUM(K1698:L1698)</f>
        <v>250</v>
      </c>
      <c r="N1698" s="186">
        <f>M1698+H1698</f>
        <v>48877</v>
      </c>
      <c r="O1698" s="244"/>
      <c r="P1698" s="1138" t="s">
        <v>102</v>
      </c>
      <c r="Q1698" s="243">
        <v>249</v>
      </c>
      <c r="R1698" s="243">
        <v>249</v>
      </c>
      <c r="S1698" s="1333" t="s">
        <v>6110</v>
      </c>
      <c r="T1698" s="1333"/>
      <c r="U1698" s="1333"/>
      <c r="V1698" s="32" t="s">
        <v>517</v>
      </c>
      <c r="W1698" s="31" t="s">
        <v>895</v>
      </c>
      <c r="X1698" s="16">
        <f t="shared" si="144"/>
        <v>250</v>
      </c>
      <c r="Y1698" s="16">
        <f t="shared" si="145"/>
        <v>0</v>
      </c>
    </row>
    <row r="1699" spans="1:25" s="31" customFormat="1" ht="135">
      <c r="B1699" s="1131" t="s">
        <v>1268</v>
      </c>
      <c r="C1699" s="1137" t="s">
        <v>1269</v>
      </c>
      <c r="D1699" s="690">
        <v>40857</v>
      </c>
      <c r="E1699" s="779" t="s">
        <v>5266</v>
      </c>
      <c r="F1699" s="371" t="s">
        <v>5273</v>
      </c>
      <c r="G1699" s="360"/>
      <c r="H1699" s="6">
        <v>50414</v>
      </c>
      <c r="I1699" s="6"/>
      <c r="J1699" s="10"/>
      <c r="K1699" s="10">
        <v>5000</v>
      </c>
      <c r="L1699" s="10"/>
      <c r="M1699" s="14">
        <f>SUM(J1699:L1699)</f>
        <v>5000</v>
      </c>
      <c r="N1699" s="186">
        <f>M1699+H1699</f>
        <v>55414</v>
      </c>
      <c r="O1699" s="244"/>
      <c r="P1699" s="1138" t="s">
        <v>102</v>
      </c>
      <c r="Q1699" s="243"/>
      <c r="R1699" s="93">
        <v>5000</v>
      </c>
      <c r="S1699" s="1333" t="s">
        <v>6114</v>
      </c>
      <c r="T1699" s="1333"/>
      <c r="U1699" s="1333"/>
      <c r="V1699" s="32" t="s">
        <v>517</v>
      </c>
      <c r="W1699" s="31" t="s">
        <v>1253</v>
      </c>
      <c r="X1699" s="16">
        <f t="shared" si="144"/>
        <v>5000</v>
      </c>
      <c r="Y1699" s="16">
        <f t="shared" si="145"/>
        <v>0</v>
      </c>
    </row>
    <row r="1700" spans="1:25" s="31" customFormat="1" ht="45">
      <c r="B1700" s="1131" t="s">
        <v>1270</v>
      </c>
      <c r="C1700" s="1137" t="s">
        <v>1271</v>
      </c>
      <c r="D1700" s="13">
        <v>40871</v>
      </c>
      <c r="E1700" s="779" t="s">
        <v>5275</v>
      </c>
      <c r="F1700" s="371" t="s">
        <v>5274</v>
      </c>
      <c r="G1700" s="360"/>
      <c r="H1700" s="6">
        <v>33751</v>
      </c>
      <c r="I1700" s="6"/>
      <c r="J1700" s="10"/>
      <c r="K1700" s="10">
        <v>5000</v>
      </c>
      <c r="L1700" s="10"/>
      <c r="M1700" s="14">
        <f>SUM(J1700:L1700)</f>
        <v>5000</v>
      </c>
      <c r="N1700" s="186">
        <f>M1700+H1700</f>
        <v>38751</v>
      </c>
      <c r="O1700" s="117"/>
      <c r="P1700" s="1138" t="s">
        <v>102</v>
      </c>
      <c r="Q1700" s="93"/>
      <c r="R1700" s="93">
        <v>4999.5</v>
      </c>
      <c r="S1700" s="1343" t="s">
        <v>6115</v>
      </c>
      <c r="T1700" s="1343"/>
      <c r="U1700" s="1343"/>
      <c r="V1700" s="32" t="s">
        <v>517</v>
      </c>
      <c r="W1700" s="31" t="s">
        <v>1253</v>
      </c>
      <c r="X1700" s="16">
        <f t="shared" si="144"/>
        <v>5000</v>
      </c>
      <c r="Y1700" s="16">
        <f t="shared" si="145"/>
        <v>0</v>
      </c>
    </row>
    <row r="1701" spans="1:25" s="31" customFormat="1" ht="30">
      <c r="B1701" s="1131" t="s">
        <v>1272</v>
      </c>
      <c r="C1701" s="1126" t="s">
        <v>1273</v>
      </c>
      <c r="D1701" s="361">
        <v>40886</v>
      </c>
      <c r="E1701" s="779" t="s">
        <v>851</v>
      </c>
      <c r="F1701" s="12" t="s">
        <v>5008</v>
      </c>
      <c r="G1701" s="360"/>
      <c r="H1701" s="268"/>
      <c r="I1701" s="268"/>
      <c r="J1701" s="6"/>
      <c r="K1701" s="10">
        <v>5000</v>
      </c>
      <c r="L1701" s="6"/>
      <c r="M1701" s="14">
        <f>SUM(J1701:L1701)</f>
        <v>5000</v>
      </c>
      <c r="N1701" s="6"/>
      <c r="O1701" s="117"/>
      <c r="P1701" s="1138" t="s">
        <v>102</v>
      </c>
      <c r="Q1701" s="93"/>
      <c r="R1701" s="93">
        <v>2741.5</v>
      </c>
      <c r="S1701" s="1343" t="s">
        <v>6116</v>
      </c>
      <c r="T1701" s="1343"/>
      <c r="U1701" s="1343"/>
      <c r="V1701" s="32" t="s">
        <v>517</v>
      </c>
      <c r="W1701" s="31" t="s">
        <v>852</v>
      </c>
      <c r="X1701" s="16">
        <f t="shared" ref="X1701:X1708" si="152">SUM(J1701:L1701)</f>
        <v>5000</v>
      </c>
      <c r="Y1701" s="16">
        <f t="shared" si="145"/>
        <v>0</v>
      </c>
    </row>
    <row r="1702" spans="1:25" s="31" customFormat="1" ht="30">
      <c r="B1702" s="1131" t="s">
        <v>1274</v>
      </c>
      <c r="C1702" s="1126" t="s">
        <v>1275</v>
      </c>
      <c r="D1702" s="361">
        <v>40886</v>
      </c>
      <c r="E1702" s="779" t="s">
        <v>851</v>
      </c>
      <c r="F1702" s="12" t="s">
        <v>5008</v>
      </c>
      <c r="G1702" s="360"/>
      <c r="H1702" s="268"/>
      <c r="I1702" s="268"/>
      <c r="J1702" s="6"/>
      <c r="K1702" s="10">
        <v>3000</v>
      </c>
      <c r="L1702" s="6"/>
      <c r="M1702" s="14">
        <f>SUM(J1702:L1702)</f>
        <v>3000</v>
      </c>
      <c r="N1702" s="6"/>
      <c r="O1702" s="37"/>
      <c r="P1702" s="1138" t="s">
        <v>102</v>
      </c>
      <c r="Q1702" s="93"/>
      <c r="R1702" s="93">
        <v>2631</v>
      </c>
      <c r="S1702" s="1326" t="s">
        <v>6117</v>
      </c>
      <c r="T1702" s="1326"/>
      <c r="U1702" s="1326"/>
      <c r="V1702" s="32" t="s">
        <v>517</v>
      </c>
      <c r="W1702" s="31" t="s">
        <v>852</v>
      </c>
      <c r="X1702" s="16">
        <f t="shared" si="152"/>
        <v>3000</v>
      </c>
      <c r="Y1702" s="16">
        <f t="shared" si="145"/>
        <v>0</v>
      </c>
    </row>
    <row r="1703" spans="1:25" s="31" customFormat="1" ht="30">
      <c r="B1703" s="857" t="s">
        <v>1276</v>
      </c>
      <c r="C1703" s="19" t="s">
        <v>1277</v>
      </c>
      <c r="D1703" s="29">
        <v>40899</v>
      </c>
      <c r="E1703" s="781" t="s">
        <v>851</v>
      </c>
      <c r="F1703" s="12" t="s">
        <v>5008</v>
      </c>
      <c r="G1703" s="28"/>
      <c r="H1703" s="268"/>
      <c r="I1703" s="268"/>
      <c r="J1703" s="35"/>
      <c r="K1703" s="21">
        <v>1000</v>
      </c>
      <c r="L1703" s="35"/>
      <c r="M1703" s="22">
        <f>SUM(J1703:L1703)</f>
        <v>1000</v>
      </c>
      <c r="N1703" s="35"/>
      <c r="O1703" s="37"/>
      <c r="P1703" s="1138" t="s">
        <v>102</v>
      </c>
      <c r="Q1703" s="93"/>
      <c r="R1703" s="93">
        <v>994</v>
      </c>
      <c r="S1703" s="1326" t="s">
        <v>6118</v>
      </c>
      <c r="T1703" s="1326"/>
      <c r="U1703" s="1326"/>
      <c r="V1703" s="32"/>
      <c r="W1703" s="31" t="s">
        <v>852</v>
      </c>
      <c r="X1703" s="16">
        <f t="shared" si="152"/>
        <v>1000</v>
      </c>
      <c r="Y1703" s="16">
        <f t="shared" si="145"/>
        <v>0</v>
      </c>
    </row>
    <row r="1704" spans="1:25" s="477" customFormat="1" ht="15">
      <c r="B1704" s="845"/>
      <c r="C1704" s="19"/>
      <c r="D1704" s="29"/>
      <c r="E1704" s="781"/>
      <c r="F1704" s="12"/>
      <c r="G1704" s="28"/>
      <c r="H1704" s="268"/>
      <c r="I1704" s="268"/>
      <c r="J1704" s="35"/>
      <c r="K1704" s="21"/>
      <c r="L1704" s="35"/>
      <c r="M1704" s="22"/>
      <c r="N1704" s="35"/>
      <c r="O1704" s="37"/>
      <c r="P1704" s="32"/>
      <c r="Q1704" s="93"/>
      <c r="R1704" s="93"/>
      <c r="S1704" s="927"/>
      <c r="T1704" s="927"/>
      <c r="U1704" s="927"/>
      <c r="V1704" s="727"/>
      <c r="X1704" s="16">
        <f t="shared" si="152"/>
        <v>0</v>
      </c>
      <c r="Y1704" s="16">
        <f t="shared" si="145"/>
        <v>0</v>
      </c>
    </row>
    <row r="1705" spans="1:25" s="16" customFormat="1" ht="15">
      <c r="A1705" s="236"/>
      <c r="B1705" s="858" t="s">
        <v>57</v>
      </c>
      <c r="C1705" s="466"/>
      <c r="D1705" s="467"/>
      <c r="E1705" s="781"/>
      <c r="F1705" s="393"/>
      <c r="G1705" s="465"/>
      <c r="H1705" s="405"/>
      <c r="I1705" s="405"/>
      <c r="J1705" s="36">
        <f>J1706</f>
        <v>0</v>
      </c>
      <c r="K1705" s="36">
        <f t="shared" ref="K1705:L1705" si="153">K1706</f>
        <v>0</v>
      </c>
      <c r="L1705" s="36">
        <f t="shared" si="153"/>
        <v>10000</v>
      </c>
      <c r="M1705" s="36">
        <f>M1706+M1709</f>
        <v>20000</v>
      </c>
      <c r="N1705" s="35"/>
      <c r="O1705" s="117"/>
      <c r="P1705" s="727"/>
      <c r="Q1705" s="36">
        <f t="shared" ref="Q1705:R1705" si="154">Q1706+Q1709</f>
        <v>10000</v>
      </c>
      <c r="R1705" s="36">
        <f t="shared" si="154"/>
        <v>10000</v>
      </c>
      <c r="S1705" s="876"/>
      <c r="T1705" s="876"/>
      <c r="U1705" s="876"/>
      <c r="X1705" s="16">
        <f t="shared" si="152"/>
        <v>10000</v>
      </c>
      <c r="Y1705" s="16">
        <f t="shared" si="145"/>
        <v>-10000</v>
      </c>
    </row>
    <row r="1706" spans="1:25" s="16" customFormat="1" ht="15">
      <c r="A1706" s="236"/>
      <c r="B1706" s="470" t="s">
        <v>11</v>
      </c>
      <c r="C1706" s="1137"/>
      <c r="D1706" s="5"/>
      <c r="E1706" s="23"/>
      <c r="F1706" s="12"/>
      <c r="G1706" s="14"/>
      <c r="H1706" s="6"/>
      <c r="I1706" s="6"/>
      <c r="J1706" s="7">
        <f t="shared" ref="J1706" si="155">SUM(J1707)</f>
        <v>0</v>
      </c>
      <c r="K1706" s="7">
        <f>SUM(K1707)</f>
        <v>0</v>
      </c>
      <c r="L1706" s="7">
        <f>SUM(L1707)</f>
        <v>10000</v>
      </c>
      <c r="M1706" s="7">
        <f>SUM(M1707)</f>
        <v>10000</v>
      </c>
      <c r="N1706" s="6"/>
      <c r="O1706" s="1136"/>
      <c r="P1706" s="179"/>
      <c r="Q1706" s="7">
        <f t="shared" ref="Q1706:R1706" si="156">SUM(Q1707)</f>
        <v>10000</v>
      </c>
      <c r="R1706" s="7">
        <f t="shared" si="156"/>
        <v>10000</v>
      </c>
      <c r="S1706" s="876"/>
      <c r="T1706" s="876"/>
      <c r="U1706" s="876"/>
      <c r="V1706" s="16" t="s">
        <v>517</v>
      </c>
      <c r="X1706" s="16">
        <f t="shared" si="152"/>
        <v>10000</v>
      </c>
      <c r="Y1706" s="16">
        <f t="shared" si="145"/>
        <v>0</v>
      </c>
    </row>
    <row r="1707" spans="1:25" s="16" customFormat="1" ht="30">
      <c r="A1707" s="236"/>
      <c r="B1707" s="846" t="s">
        <v>1279</v>
      </c>
      <c r="C1707" s="189" t="s">
        <v>1280</v>
      </c>
      <c r="D1707" s="190">
        <v>40892</v>
      </c>
      <c r="E1707" s="1126" t="s">
        <v>4965</v>
      </c>
      <c r="F1707" s="212" t="s">
        <v>5276</v>
      </c>
      <c r="G1707" s="14"/>
      <c r="H1707" s="10">
        <v>170024</v>
      </c>
      <c r="I1707" s="10"/>
      <c r="J1707" s="14"/>
      <c r="K1707" s="14"/>
      <c r="L1707" s="14">
        <v>10000</v>
      </c>
      <c r="M1707" s="14">
        <f>SUM(K1707:L1707)</f>
        <v>10000</v>
      </c>
      <c r="N1707" s="10">
        <f>M1707+H1707</f>
        <v>180024</v>
      </c>
      <c r="O1707" s="1136"/>
      <c r="P1707" s="1138" t="s">
        <v>102</v>
      </c>
      <c r="Q1707" s="93">
        <v>10000</v>
      </c>
      <c r="R1707" s="93">
        <v>10000</v>
      </c>
      <c r="S1707" s="876" t="s">
        <v>4645</v>
      </c>
      <c r="T1707" s="876"/>
      <c r="U1707" s="876"/>
      <c r="W1707" s="14" t="s">
        <v>1278</v>
      </c>
      <c r="X1707" s="16">
        <f t="shared" si="152"/>
        <v>10000</v>
      </c>
      <c r="Y1707" s="16">
        <f t="shared" si="145"/>
        <v>0</v>
      </c>
    </row>
    <row r="1708" spans="1:25" s="739" customFormat="1" ht="15.95" customHeight="1">
      <c r="B1708" s="358"/>
      <c r="C1708" s="189"/>
      <c r="D1708" s="190"/>
      <c r="E1708" s="1126"/>
      <c r="F1708" s="212"/>
      <c r="G1708" s="14"/>
      <c r="H1708" s="10"/>
      <c r="I1708" s="10"/>
      <c r="J1708" s="14"/>
      <c r="K1708" s="14"/>
      <c r="L1708" s="14"/>
      <c r="M1708" s="14"/>
      <c r="N1708" s="10"/>
      <c r="O1708" s="166"/>
      <c r="P1708" s="179"/>
      <c r="Q1708" s="216"/>
      <c r="R1708" s="216"/>
      <c r="S1708" s="877"/>
      <c r="T1708" s="877"/>
      <c r="U1708" s="877"/>
      <c r="V1708" s="38"/>
      <c r="X1708" s="16">
        <f t="shared" si="152"/>
        <v>0</v>
      </c>
      <c r="Y1708" s="16">
        <f t="shared" si="145"/>
        <v>0</v>
      </c>
    </row>
    <row r="1709" spans="1:25" s="16" customFormat="1" ht="15">
      <c r="A1709" s="236"/>
      <c r="B1709" s="850" t="s">
        <v>565</v>
      </c>
      <c r="C1709" s="179"/>
      <c r="D1709" s="379"/>
      <c r="E1709" s="1126"/>
      <c r="F1709" s="240"/>
      <c r="G1709" s="241"/>
      <c r="H1709" s="74"/>
      <c r="I1709" s="74"/>
      <c r="J1709" s="80">
        <f>SUM(J1710)</f>
        <v>0</v>
      </c>
      <c r="K1709" s="80">
        <f>SUM(K1710)</f>
        <v>0</v>
      </c>
      <c r="L1709" s="80">
        <f>SUM(L1710)</f>
        <v>10000</v>
      </c>
      <c r="M1709" s="80">
        <f>SUM(M1710)</f>
        <v>10000</v>
      </c>
      <c r="N1709" s="74"/>
      <c r="O1709" s="154"/>
      <c r="P1709" s="1151"/>
      <c r="Q1709" s="121">
        <f t="shared" ref="Q1709:R1709" si="157">SUM(Q1710)</f>
        <v>0</v>
      </c>
      <c r="R1709" s="121">
        <f t="shared" si="157"/>
        <v>0</v>
      </c>
      <c r="S1709" s="515"/>
      <c r="T1709" s="515"/>
      <c r="U1709" s="515"/>
      <c r="X1709" s="16">
        <f>SUM(J1709:L1709)</f>
        <v>10000</v>
      </c>
      <c r="Y1709" s="16">
        <f t="shared" si="145"/>
        <v>0</v>
      </c>
    </row>
    <row r="1710" spans="1:25" s="16" customFormat="1" ht="56.25" customHeight="1">
      <c r="A1710" s="236"/>
      <c r="B1710" s="859" t="s">
        <v>566</v>
      </c>
      <c r="C1710" s="55" t="s">
        <v>567</v>
      </c>
      <c r="D1710" s="56">
        <v>40890</v>
      </c>
      <c r="E1710" s="19" t="s">
        <v>5278</v>
      </c>
      <c r="F1710" s="390" t="s">
        <v>5277</v>
      </c>
      <c r="G1710" s="1103"/>
      <c r="H1710" s="74">
        <v>1802486</v>
      </c>
      <c r="I1710" s="74"/>
      <c r="J1710" s="79"/>
      <c r="K1710" s="74"/>
      <c r="L1710" s="74">
        <v>10000</v>
      </c>
      <c r="M1710" s="74">
        <f>SUM(K1710:L1710)</f>
        <v>10000</v>
      </c>
      <c r="N1710" s="10">
        <f>M1710+H1710</f>
        <v>1812486</v>
      </c>
      <c r="O1710" s="1136"/>
      <c r="P1710" s="179"/>
      <c r="Q1710" s="93"/>
      <c r="R1710" s="93"/>
      <c r="S1710" s="1335" t="s">
        <v>568</v>
      </c>
      <c r="T1710" s="1335"/>
      <c r="U1710" s="1335"/>
      <c r="V1710" s="14" t="s">
        <v>517</v>
      </c>
      <c r="W1710" s="14" t="s">
        <v>564</v>
      </c>
      <c r="X1710" s="16">
        <f>SUM(J1710:L1710)</f>
        <v>10000</v>
      </c>
      <c r="Y1710" s="16">
        <f t="shared" si="145"/>
        <v>0</v>
      </c>
    </row>
    <row r="1711" spans="1:25" s="16" customFormat="1" ht="15">
      <c r="A1711" s="236"/>
      <c r="B1711" s="859"/>
      <c r="C1711" s="55"/>
      <c r="D1711" s="56"/>
      <c r="E1711" s="19"/>
      <c r="F1711" s="390"/>
      <c r="G1711" s="1103"/>
      <c r="H1711" s="74"/>
      <c r="I1711" s="74"/>
      <c r="J1711" s="79"/>
      <c r="K1711" s="74"/>
      <c r="L1711" s="74"/>
      <c r="M1711" s="74"/>
      <c r="N1711" s="10"/>
      <c r="O1711" s="1136"/>
      <c r="P1711" s="179"/>
      <c r="Q1711" s="93"/>
      <c r="R1711" s="93"/>
      <c r="S1711" s="1121"/>
      <c r="T1711" s="1121"/>
      <c r="U1711" s="1121"/>
      <c r="V1711" s="14"/>
      <c r="W1711" s="14"/>
    </row>
    <row r="1712" spans="1:25" s="16" customFormat="1" ht="15">
      <c r="A1712" s="236"/>
      <c r="B1712" s="470" t="s">
        <v>65</v>
      </c>
      <c r="C1712" s="23"/>
      <c r="D1712" s="380"/>
      <c r="E1712" s="23"/>
      <c r="F1712" s="22"/>
      <c r="G1712" s="22"/>
      <c r="H1712" s="22"/>
      <c r="I1712" s="22"/>
      <c r="J1712" s="36">
        <f>J1714+J1873</f>
        <v>0</v>
      </c>
      <c r="K1712" s="36">
        <f>K1714+K1873</f>
        <v>0</v>
      </c>
      <c r="L1712" s="36">
        <f>L1714+L1873</f>
        <v>2759772</v>
      </c>
      <c r="M1712" s="36">
        <f>M1714+M1873</f>
        <v>2759772</v>
      </c>
      <c r="N1712" s="22"/>
      <c r="O1712" s="1137"/>
      <c r="P1712" s="32" t="s">
        <v>102</v>
      </c>
      <c r="Q1712" s="36">
        <f t="shared" ref="Q1712:R1712" si="158">Q1714+Q1873</f>
        <v>0</v>
      </c>
      <c r="R1712" s="36">
        <f t="shared" si="158"/>
        <v>0</v>
      </c>
      <c r="S1712" s="928"/>
      <c r="T1712" s="928"/>
      <c r="U1712" s="928"/>
      <c r="X1712" s="16">
        <f t="shared" si="88"/>
        <v>2759772</v>
      </c>
      <c r="Y1712" s="16">
        <f t="shared" ref="Y1712:Y1775" si="159">X1712-M1712</f>
        <v>0</v>
      </c>
    </row>
    <row r="1713" spans="1:28" s="16" customFormat="1" ht="15">
      <c r="A1713" s="236"/>
      <c r="B1713" s="86" t="s">
        <v>28</v>
      </c>
      <c r="C1713" s="1137"/>
      <c r="D1713" s="13"/>
      <c r="E1713" s="58"/>
      <c r="F1713" s="1129"/>
      <c r="G1713" s="1129"/>
      <c r="H1713" s="1136"/>
      <c r="I1713" s="1136"/>
      <c r="J1713" s="13"/>
      <c r="K1713" s="13"/>
      <c r="L1713" s="1136"/>
      <c r="M1713" s="1136"/>
      <c r="N1713" s="1137"/>
      <c r="O1713" s="1137"/>
      <c r="P1713" s="179"/>
      <c r="Q1713" s="117"/>
      <c r="R1713" s="117"/>
      <c r="S1713" s="928"/>
      <c r="T1713" s="928"/>
      <c r="U1713" s="928"/>
      <c r="V1713" s="14" t="s">
        <v>61</v>
      </c>
      <c r="X1713" s="16">
        <f t="shared" si="88"/>
        <v>0</v>
      </c>
      <c r="Y1713" s="16">
        <f t="shared" si="159"/>
        <v>0</v>
      </c>
    </row>
    <row r="1714" spans="1:28" s="16" customFormat="1" ht="15">
      <c r="A1714" s="236"/>
      <c r="B1714" s="836" t="s">
        <v>944</v>
      </c>
      <c r="C1714" s="1137"/>
      <c r="D1714" s="13"/>
      <c r="E1714" s="1137"/>
      <c r="G1714" s="1129"/>
      <c r="H1714" s="10"/>
      <c r="I1714" s="10"/>
      <c r="J1714" s="147">
        <f>SUM(J1715:J1842)</f>
        <v>0</v>
      </c>
      <c r="K1714" s="147">
        <f>SUM(K1715:K1842)</f>
        <v>0</v>
      </c>
      <c r="L1714" s="147">
        <f>SUM(L1715:L1842)</f>
        <v>2737342</v>
      </c>
      <c r="M1714" s="147">
        <f>SUM(M1715:M1842)</f>
        <v>2737342</v>
      </c>
      <c r="N1714" s="1137"/>
      <c r="O1714" s="1137"/>
      <c r="P1714" s="179"/>
      <c r="Q1714" s="7">
        <f t="shared" ref="Q1714:R1714" si="160">SUM(Q1715:Q1842)</f>
        <v>0</v>
      </c>
      <c r="R1714" s="7">
        <f t="shared" si="160"/>
        <v>0</v>
      </c>
      <c r="S1714" s="928"/>
      <c r="T1714" s="928"/>
      <c r="U1714" s="928"/>
      <c r="V1714" s="14" t="s">
        <v>61</v>
      </c>
      <c r="W1714" s="10"/>
      <c r="X1714" s="16">
        <f t="shared" si="88"/>
        <v>2737342</v>
      </c>
      <c r="Y1714" s="16">
        <f t="shared" si="159"/>
        <v>0</v>
      </c>
      <c r="Z1714" s="10"/>
      <c r="AA1714" s="10"/>
      <c r="AB1714" s="10"/>
    </row>
    <row r="1715" spans="1:28" s="16" customFormat="1" ht="30">
      <c r="A1715" s="236"/>
      <c r="B1715" s="844"/>
      <c r="C1715" s="69" t="s">
        <v>945</v>
      </c>
      <c r="D1715" s="679">
        <v>40857</v>
      </c>
      <c r="E1715" s="1137" t="s">
        <v>5002</v>
      </c>
      <c r="F1715" s="1129" t="s">
        <v>5001</v>
      </c>
      <c r="G1715" s="354"/>
      <c r="H1715" s="456"/>
      <c r="I1715" s="456"/>
      <c r="J1715" s="455"/>
      <c r="K1715" s="455"/>
      <c r="L1715" s="457">
        <v>25000</v>
      </c>
      <c r="M1715" s="768">
        <f t="shared" ref="M1715:M1778" si="161">SUM(J1715:L1715)</f>
        <v>25000</v>
      </c>
      <c r="N1715" s="1137" t="s">
        <v>517</v>
      </c>
      <c r="O1715" s="1137"/>
      <c r="P1715" s="1136"/>
      <c r="Q1715" s="223"/>
      <c r="R1715" s="223"/>
      <c r="S1715" s="928"/>
      <c r="T1715" s="928"/>
      <c r="U1715" s="928"/>
      <c r="V1715" s="14" t="s">
        <v>61</v>
      </c>
      <c r="W1715" s="10"/>
      <c r="X1715" s="16">
        <f t="shared" si="88"/>
        <v>25000</v>
      </c>
      <c r="Y1715" s="16">
        <f t="shared" si="159"/>
        <v>0</v>
      </c>
      <c r="Z1715" s="10"/>
      <c r="AA1715" s="10"/>
      <c r="AB1715" s="10"/>
    </row>
    <row r="1716" spans="1:28" s="16" customFormat="1" ht="30">
      <c r="A1716" s="236"/>
      <c r="B1716" s="844"/>
      <c r="C1716" s="69" t="s">
        <v>946</v>
      </c>
      <c r="D1716" s="679">
        <v>40857</v>
      </c>
      <c r="E1716" s="1137" t="s">
        <v>5002</v>
      </c>
      <c r="F1716" s="1129" t="s">
        <v>5001</v>
      </c>
      <c r="G1716" s="354"/>
      <c r="H1716" s="456"/>
      <c r="I1716" s="456"/>
      <c r="J1716" s="455"/>
      <c r="K1716" s="455"/>
      <c r="L1716" s="457">
        <v>37500</v>
      </c>
      <c r="M1716" s="768">
        <f t="shared" si="161"/>
        <v>37500</v>
      </c>
      <c r="N1716" s="1137" t="s">
        <v>517</v>
      </c>
      <c r="O1716" s="1137"/>
      <c r="P1716" s="1136"/>
      <c r="Q1716" s="223"/>
      <c r="R1716" s="223"/>
      <c r="S1716" s="928"/>
      <c r="T1716" s="928"/>
      <c r="U1716" s="928"/>
      <c r="V1716" s="14" t="s">
        <v>61</v>
      </c>
      <c r="W1716" s="10"/>
      <c r="X1716" s="16">
        <f t="shared" si="88"/>
        <v>37500</v>
      </c>
      <c r="Y1716" s="16">
        <f t="shared" si="159"/>
        <v>0</v>
      </c>
      <c r="Z1716" s="10"/>
      <c r="AA1716" s="10"/>
      <c r="AB1716" s="10"/>
    </row>
    <row r="1717" spans="1:28" s="16" customFormat="1" ht="30">
      <c r="A1717" s="236"/>
      <c r="B1717" s="844"/>
      <c r="C1717" s="69" t="s">
        <v>947</v>
      </c>
      <c r="D1717" s="679">
        <v>40857</v>
      </c>
      <c r="E1717" s="1137" t="s">
        <v>5002</v>
      </c>
      <c r="F1717" s="1129" t="s">
        <v>5001</v>
      </c>
      <c r="G1717" s="354"/>
      <c r="H1717" s="456"/>
      <c r="I1717" s="456"/>
      <c r="J1717" s="455"/>
      <c r="K1717" s="455"/>
      <c r="L1717" s="457">
        <v>13500</v>
      </c>
      <c r="M1717" s="768">
        <f t="shared" si="161"/>
        <v>13500</v>
      </c>
      <c r="N1717" s="1137" t="s">
        <v>517</v>
      </c>
      <c r="O1717" s="1137"/>
      <c r="P1717" s="1136"/>
      <c r="Q1717" s="223"/>
      <c r="R1717" s="223"/>
      <c r="S1717" s="928"/>
      <c r="T1717" s="928"/>
      <c r="U1717" s="928"/>
      <c r="V1717" s="14" t="s">
        <v>61</v>
      </c>
      <c r="W1717" s="10"/>
      <c r="X1717" s="16">
        <f t="shared" si="88"/>
        <v>13500</v>
      </c>
      <c r="Y1717" s="16">
        <f t="shared" si="159"/>
        <v>0</v>
      </c>
      <c r="Z1717" s="10"/>
      <c r="AA1717" s="10"/>
      <c r="AB1717" s="10"/>
    </row>
    <row r="1718" spans="1:28" s="16" customFormat="1" ht="30">
      <c r="A1718" s="236"/>
      <c r="B1718" s="844"/>
      <c r="C1718" s="69" t="s">
        <v>948</v>
      </c>
      <c r="D1718" s="679">
        <v>40857</v>
      </c>
      <c r="E1718" s="1137" t="s">
        <v>5002</v>
      </c>
      <c r="F1718" s="1129" t="s">
        <v>5001</v>
      </c>
      <c r="G1718" s="354"/>
      <c r="H1718" s="456"/>
      <c r="I1718" s="456"/>
      <c r="J1718" s="455"/>
      <c r="K1718" s="455"/>
      <c r="L1718" s="457">
        <v>19000</v>
      </c>
      <c r="M1718" s="768">
        <f t="shared" si="161"/>
        <v>19000</v>
      </c>
      <c r="N1718" s="1137" t="s">
        <v>517</v>
      </c>
      <c r="O1718" s="1137"/>
      <c r="P1718" s="1136"/>
      <c r="Q1718" s="223"/>
      <c r="R1718" s="223"/>
      <c r="S1718" s="928"/>
      <c r="T1718" s="928"/>
      <c r="U1718" s="928"/>
      <c r="V1718" s="14" t="s">
        <v>61</v>
      </c>
      <c r="W1718" s="10"/>
      <c r="X1718" s="16">
        <f t="shared" si="88"/>
        <v>19000</v>
      </c>
      <c r="Y1718" s="16">
        <f t="shared" si="159"/>
        <v>0</v>
      </c>
      <c r="Z1718" s="10"/>
      <c r="AA1718" s="10"/>
      <c r="AB1718" s="10"/>
    </row>
    <row r="1719" spans="1:28" s="16" customFormat="1" ht="30">
      <c r="A1719" s="236"/>
      <c r="B1719" s="844"/>
      <c r="C1719" s="69" t="s">
        <v>949</v>
      </c>
      <c r="D1719" s="679">
        <v>40857</v>
      </c>
      <c r="E1719" s="1137" t="s">
        <v>5002</v>
      </c>
      <c r="F1719" s="1129" t="s">
        <v>5001</v>
      </c>
      <c r="G1719" s="354"/>
      <c r="H1719" s="456"/>
      <c r="I1719" s="456"/>
      <c r="J1719" s="455"/>
      <c r="K1719" s="455"/>
      <c r="L1719" s="457">
        <v>5000</v>
      </c>
      <c r="M1719" s="768">
        <f t="shared" si="161"/>
        <v>5000</v>
      </c>
      <c r="N1719" s="1137" t="s">
        <v>517</v>
      </c>
      <c r="O1719" s="1137"/>
      <c r="P1719" s="1136"/>
      <c r="Q1719" s="223"/>
      <c r="R1719" s="223"/>
      <c r="S1719" s="928"/>
      <c r="T1719" s="928"/>
      <c r="U1719" s="928"/>
      <c r="V1719" s="14" t="s">
        <v>61</v>
      </c>
      <c r="W1719" s="10"/>
      <c r="X1719" s="16">
        <f t="shared" si="88"/>
        <v>5000</v>
      </c>
      <c r="Y1719" s="16">
        <f t="shared" si="159"/>
        <v>0</v>
      </c>
      <c r="Z1719" s="10"/>
      <c r="AA1719" s="10"/>
      <c r="AB1719" s="10"/>
    </row>
    <row r="1720" spans="1:28" s="16" customFormat="1" ht="30">
      <c r="A1720" s="236"/>
      <c r="B1720" s="844"/>
      <c r="C1720" s="69" t="s">
        <v>950</v>
      </c>
      <c r="D1720" s="679">
        <v>40861</v>
      </c>
      <c r="E1720" s="1137" t="s">
        <v>5002</v>
      </c>
      <c r="F1720" s="1129" t="s">
        <v>5001</v>
      </c>
      <c r="G1720" s="354"/>
      <c r="H1720" s="456"/>
      <c r="I1720" s="456"/>
      <c r="J1720" s="455"/>
      <c r="K1720" s="455"/>
      <c r="L1720" s="457">
        <v>313000</v>
      </c>
      <c r="M1720" s="768">
        <f t="shared" si="161"/>
        <v>313000</v>
      </c>
      <c r="N1720" s="1137" t="s">
        <v>517</v>
      </c>
      <c r="O1720" s="1137"/>
      <c r="P1720" s="1136"/>
      <c r="Q1720" s="223"/>
      <c r="R1720" s="223"/>
      <c r="S1720" s="928"/>
      <c r="T1720" s="928"/>
      <c r="U1720" s="928"/>
      <c r="V1720" s="14" t="s">
        <v>61</v>
      </c>
      <c r="W1720" s="10"/>
      <c r="X1720" s="16">
        <f t="shared" si="88"/>
        <v>313000</v>
      </c>
      <c r="Y1720" s="16">
        <f t="shared" si="159"/>
        <v>0</v>
      </c>
      <c r="Z1720" s="10"/>
      <c r="AA1720" s="10"/>
      <c r="AB1720" s="10"/>
    </row>
    <row r="1721" spans="1:28" s="16" customFormat="1" ht="30">
      <c r="A1721" s="236"/>
      <c r="B1721" s="844"/>
      <c r="C1721" s="69" t="s">
        <v>951</v>
      </c>
      <c r="D1721" s="679">
        <v>40861</v>
      </c>
      <c r="E1721" s="1137" t="s">
        <v>5002</v>
      </c>
      <c r="F1721" s="1129" t="s">
        <v>5001</v>
      </c>
      <c r="G1721" s="354"/>
      <c r="H1721" s="456"/>
      <c r="I1721" s="456"/>
      <c r="J1721" s="455"/>
      <c r="K1721" s="455"/>
      <c r="L1721" s="457">
        <v>20000</v>
      </c>
      <c r="M1721" s="768">
        <f t="shared" si="161"/>
        <v>20000</v>
      </c>
      <c r="N1721" s="1137" t="s">
        <v>517</v>
      </c>
      <c r="O1721" s="1137"/>
      <c r="P1721" s="1136"/>
      <c r="Q1721" s="223"/>
      <c r="R1721" s="223"/>
      <c r="S1721" s="928"/>
      <c r="T1721" s="928"/>
      <c r="U1721" s="928"/>
      <c r="V1721" s="14" t="s">
        <v>61</v>
      </c>
      <c r="W1721" s="10"/>
      <c r="X1721" s="16">
        <f t="shared" si="88"/>
        <v>20000</v>
      </c>
      <c r="Y1721" s="16">
        <f t="shared" si="159"/>
        <v>0</v>
      </c>
      <c r="Z1721" s="10"/>
      <c r="AA1721" s="10"/>
      <c r="AB1721" s="10"/>
    </row>
    <row r="1722" spans="1:28" s="16" customFormat="1" ht="30">
      <c r="A1722" s="236"/>
      <c r="B1722" s="844"/>
      <c r="C1722" s="69" t="s">
        <v>952</v>
      </c>
      <c r="D1722" s="679">
        <v>40861</v>
      </c>
      <c r="E1722" s="1137" t="s">
        <v>5002</v>
      </c>
      <c r="F1722" s="1129" t="s">
        <v>5001</v>
      </c>
      <c r="G1722" s="354"/>
      <c r="H1722" s="456"/>
      <c r="I1722" s="456"/>
      <c r="J1722" s="455"/>
      <c r="K1722" s="455"/>
      <c r="L1722" s="457">
        <v>5000</v>
      </c>
      <c r="M1722" s="768">
        <f t="shared" si="161"/>
        <v>5000</v>
      </c>
      <c r="N1722" s="1137" t="s">
        <v>517</v>
      </c>
      <c r="O1722" s="1137"/>
      <c r="P1722" s="1136"/>
      <c r="Q1722" s="223"/>
      <c r="R1722" s="223"/>
      <c r="S1722" s="928"/>
      <c r="T1722" s="928"/>
      <c r="U1722" s="928"/>
      <c r="V1722" s="14" t="s">
        <v>61</v>
      </c>
      <c r="W1722" s="10"/>
      <c r="X1722" s="16">
        <f t="shared" si="88"/>
        <v>5000</v>
      </c>
      <c r="Y1722" s="16">
        <f t="shared" si="159"/>
        <v>0</v>
      </c>
      <c r="Z1722" s="10"/>
      <c r="AA1722" s="10"/>
      <c r="AB1722" s="10"/>
    </row>
    <row r="1723" spans="1:28" s="16" customFormat="1" ht="30">
      <c r="A1723" s="236"/>
      <c r="B1723" s="844"/>
      <c r="C1723" s="69" t="s">
        <v>953</v>
      </c>
      <c r="D1723" s="679">
        <v>40861</v>
      </c>
      <c r="E1723" s="1137" t="s">
        <v>5002</v>
      </c>
      <c r="F1723" s="1129" t="s">
        <v>5001</v>
      </c>
      <c r="G1723" s="354"/>
      <c r="H1723" s="456"/>
      <c r="I1723" s="456"/>
      <c r="J1723" s="455"/>
      <c r="K1723" s="455"/>
      <c r="L1723" s="457">
        <v>25000</v>
      </c>
      <c r="M1723" s="768">
        <f t="shared" si="161"/>
        <v>25000</v>
      </c>
      <c r="N1723" s="1137" t="s">
        <v>517</v>
      </c>
      <c r="O1723" s="1137"/>
      <c r="P1723" s="1136"/>
      <c r="Q1723" s="223"/>
      <c r="R1723" s="223"/>
      <c r="S1723" s="928"/>
      <c r="T1723" s="928"/>
      <c r="U1723" s="928"/>
      <c r="V1723" s="14" t="s">
        <v>61</v>
      </c>
      <c r="W1723" s="10"/>
      <c r="X1723" s="16">
        <f t="shared" si="88"/>
        <v>25000</v>
      </c>
      <c r="Y1723" s="16">
        <f t="shared" si="159"/>
        <v>0</v>
      </c>
      <c r="Z1723" s="10"/>
      <c r="AA1723" s="10"/>
      <c r="AB1723" s="10"/>
    </row>
    <row r="1724" spans="1:28" s="16" customFormat="1" ht="30">
      <c r="A1724" s="236"/>
      <c r="B1724" s="844"/>
      <c r="C1724" s="69" t="s">
        <v>954</v>
      </c>
      <c r="D1724" s="679">
        <v>40861</v>
      </c>
      <c r="E1724" s="1137" t="s">
        <v>5002</v>
      </c>
      <c r="F1724" s="1129" t="s">
        <v>5001</v>
      </c>
      <c r="G1724" s="354"/>
      <c r="H1724" s="456"/>
      <c r="I1724" s="456"/>
      <c r="J1724" s="455"/>
      <c r="K1724" s="455"/>
      <c r="L1724" s="457">
        <v>32400</v>
      </c>
      <c r="M1724" s="768">
        <f t="shared" si="161"/>
        <v>32400</v>
      </c>
      <c r="N1724" s="1137" t="s">
        <v>517</v>
      </c>
      <c r="O1724" s="1137"/>
      <c r="P1724" s="1136"/>
      <c r="Q1724" s="223"/>
      <c r="R1724" s="223"/>
      <c r="S1724" s="928"/>
      <c r="T1724" s="928"/>
      <c r="U1724" s="928"/>
      <c r="V1724" s="14" t="s">
        <v>61</v>
      </c>
      <c r="W1724" s="10"/>
      <c r="X1724" s="16">
        <f t="shared" si="88"/>
        <v>32400</v>
      </c>
      <c r="Y1724" s="16">
        <f t="shared" si="159"/>
        <v>0</v>
      </c>
      <c r="Z1724" s="10"/>
      <c r="AA1724" s="10"/>
      <c r="AB1724" s="10"/>
    </row>
    <row r="1725" spans="1:28" s="16" customFormat="1" ht="30">
      <c r="A1725" s="236"/>
      <c r="B1725" s="844"/>
      <c r="C1725" s="69" t="s">
        <v>955</v>
      </c>
      <c r="D1725" s="679">
        <v>40861</v>
      </c>
      <c r="E1725" s="1137" t="s">
        <v>5002</v>
      </c>
      <c r="F1725" s="1129" t="s">
        <v>5001</v>
      </c>
      <c r="G1725" s="354"/>
      <c r="H1725" s="456"/>
      <c r="I1725" s="456"/>
      <c r="J1725" s="455"/>
      <c r="K1725" s="455"/>
      <c r="L1725" s="457">
        <v>15500</v>
      </c>
      <c r="M1725" s="768">
        <f t="shared" si="161"/>
        <v>15500</v>
      </c>
      <c r="N1725" s="1137" t="s">
        <v>517</v>
      </c>
      <c r="O1725" s="1137"/>
      <c r="P1725" s="1136"/>
      <c r="Q1725" s="223"/>
      <c r="R1725" s="223"/>
      <c r="S1725" s="928"/>
      <c r="T1725" s="928"/>
      <c r="U1725" s="928"/>
      <c r="V1725" s="14" t="s">
        <v>61</v>
      </c>
      <c r="W1725" s="10"/>
      <c r="X1725" s="16">
        <f t="shared" si="88"/>
        <v>15500</v>
      </c>
      <c r="Y1725" s="16">
        <f t="shared" si="159"/>
        <v>0</v>
      </c>
      <c r="Z1725" s="10"/>
      <c r="AA1725" s="10"/>
      <c r="AB1725" s="10"/>
    </row>
    <row r="1726" spans="1:28" s="16" customFormat="1" ht="30">
      <c r="A1726" s="236"/>
      <c r="B1726" s="844"/>
      <c r="C1726" s="69" t="s">
        <v>956</v>
      </c>
      <c r="D1726" s="679">
        <v>40861</v>
      </c>
      <c r="E1726" s="1137" t="s">
        <v>5002</v>
      </c>
      <c r="F1726" s="1129" t="s">
        <v>5001</v>
      </c>
      <c r="G1726" s="354"/>
      <c r="H1726" s="456"/>
      <c r="I1726" s="456"/>
      <c r="J1726" s="455"/>
      <c r="K1726" s="455"/>
      <c r="L1726" s="457">
        <v>7500</v>
      </c>
      <c r="M1726" s="768">
        <f t="shared" si="161"/>
        <v>7500</v>
      </c>
      <c r="N1726" s="1137" t="s">
        <v>517</v>
      </c>
      <c r="O1726" s="1137"/>
      <c r="P1726" s="1136"/>
      <c r="Q1726" s="223"/>
      <c r="R1726" s="223"/>
      <c r="S1726" s="928"/>
      <c r="T1726" s="928"/>
      <c r="U1726" s="928"/>
      <c r="V1726" s="14" t="s">
        <v>61</v>
      </c>
      <c r="W1726" s="10"/>
      <c r="X1726" s="16">
        <f t="shared" si="88"/>
        <v>7500</v>
      </c>
      <c r="Y1726" s="16">
        <f t="shared" si="159"/>
        <v>0</v>
      </c>
      <c r="Z1726" s="10"/>
      <c r="AA1726" s="10"/>
      <c r="AB1726" s="10"/>
    </row>
    <row r="1727" spans="1:28" s="16" customFormat="1" ht="30">
      <c r="A1727" s="236"/>
      <c r="B1727" s="844"/>
      <c r="C1727" s="69" t="s">
        <v>957</v>
      </c>
      <c r="D1727" s="679">
        <v>40861</v>
      </c>
      <c r="E1727" s="1137" t="s">
        <v>5002</v>
      </c>
      <c r="F1727" s="1129" t="s">
        <v>5001</v>
      </c>
      <c r="G1727" s="354"/>
      <c r="H1727" s="456"/>
      <c r="I1727" s="456"/>
      <c r="J1727" s="455"/>
      <c r="K1727" s="455"/>
      <c r="L1727" s="457">
        <v>7500</v>
      </c>
      <c r="M1727" s="768">
        <f t="shared" si="161"/>
        <v>7500</v>
      </c>
      <c r="N1727" s="1137" t="s">
        <v>517</v>
      </c>
      <c r="O1727" s="1137"/>
      <c r="P1727" s="1136"/>
      <c r="Q1727" s="223"/>
      <c r="R1727" s="223"/>
      <c r="S1727" s="928"/>
      <c r="T1727" s="928"/>
      <c r="U1727" s="928"/>
      <c r="V1727" s="14" t="s">
        <v>61</v>
      </c>
      <c r="W1727" s="10"/>
      <c r="X1727" s="16">
        <f t="shared" si="88"/>
        <v>7500</v>
      </c>
      <c r="Y1727" s="16">
        <f t="shared" si="159"/>
        <v>0</v>
      </c>
      <c r="Z1727" s="10"/>
      <c r="AA1727" s="10"/>
      <c r="AB1727" s="10"/>
    </row>
    <row r="1728" spans="1:28" s="16" customFormat="1" ht="30">
      <c r="A1728" s="236"/>
      <c r="B1728" s="844"/>
      <c r="C1728" s="69" t="s">
        <v>958</v>
      </c>
      <c r="D1728" s="679">
        <v>40861</v>
      </c>
      <c r="E1728" s="1137" t="s">
        <v>5002</v>
      </c>
      <c r="F1728" s="1129" t="s">
        <v>5001</v>
      </c>
      <c r="G1728" s="354"/>
      <c r="H1728" s="456"/>
      <c r="I1728" s="456"/>
      <c r="J1728" s="455"/>
      <c r="K1728" s="455"/>
      <c r="L1728" s="457">
        <v>7500</v>
      </c>
      <c r="M1728" s="768">
        <f t="shared" si="161"/>
        <v>7500</v>
      </c>
      <c r="N1728" s="1137" t="s">
        <v>517</v>
      </c>
      <c r="O1728" s="1137"/>
      <c r="P1728" s="1136"/>
      <c r="Q1728" s="223"/>
      <c r="R1728" s="223"/>
      <c r="S1728" s="928"/>
      <c r="T1728" s="928"/>
      <c r="U1728" s="928"/>
      <c r="V1728" s="14" t="s">
        <v>61</v>
      </c>
      <c r="W1728" s="10"/>
      <c r="X1728" s="16">
        <f t="shared" si="88"/>
        <v>7500</v>
      </c>
      <c r="Y1728" s="16">
        <f t="shared" si="159"/>
        <v>0</v>
      </c>
      <c r="Z1728" s="10"/>
      <c r="AA1728" s="10"/>
      <c r="AB1728" s="10"/>
    </row>
    <row r="1729" spans="1:28" s="16" customFormat="1" ht="30">
      <c r="A1729" s="236"/>
      <c r="B1729" s="844"/>
      <c r="C1729" s="69" t="s">
        <v>959</v>
      </c>
      <c r="D1729" s="679">
        <v>40861</v>
      </c>
      <c r="E1729" s="1137" t="s">
        <v>5002</v>
      </c>
      <c r="F1729" s="1129" t="s">
        <v>5001</v>
      </c>
      <c r="G1729" s="354"/>
      <c r="H1729" s="456"/>
      <c r="I1729" s="456"/>
      <c r="J1729" s="455"/>
      <c r="K1729" s="455"/>
      <c r="L1729" s="457">
        <v>10000</v>
      </c>
      <c r="M1729" s="768">
        <f t="shared" si="161"/>
        <v>10000</v>
      </c>
      <c r="N1729" s="1137" t="s">
        <v>517</v>
      </c>
      <c r="O1729" s="1137"/>
      <c r="P1729" s="1136"/>
      <c r="Q1729" s="223"/>
      <c r="R1729" s="223"/>
      <c r="S1729" s="928"/>
      <c r="T1729" s="928"/>
      <c r="U1729" s="928"/>
      <c r="V1729" s="14" t="s">
        <v>61</v>
      </c>
      <c r="W1729" s="10"/>
      <c r="X1729" s="16">
        <f t="shared" si="88"/>
        <v>10000</v>
      </c>
      <c r="Y1729" s="16">
        <f t="shared" si="159"/>
        <v>0</v>
      </c>
      <c r="Z1729" s="10"/>
      <c r="AA1729" s="10"/>
      <c r="AB1729" s="10"/>
    </row>
    <row r="1730" spans="1:28" s="16" customFormat="1" ht="30">
      <c r="A1730" s="236"/>
      <c r="B1730" s="844"/>
      <c r="C1730" s="69" t="s">
        <v>960</v>
      </c>
      <c r="D1730" s="679">
        <v>40861</v>
      </c>
      <c r="E1730" s="1137" t="s">
        <v>5002</v>
      </c>
      <c r="F1730" s="1129" t="s">
        <v>5001</v>
      </c>
      <c r="G1730" s="354"/>
      <c r="H1730" s="456"/>
      <c r="I1730" s="456"/>
      <c r="J1730" s="455"/>
      <c r="K1730" s="455"/>
      <c r="L1730" s="457">
        <v>10000</v>
      </c>
      <c r="M1730" s="768">
        <f t="shared" si="161"/>
        <v>10000</v>
      </c>
      <c r="N1730" s="1137" t="s">
        <v>517</v>
      </c>
      <c r="O1730" s="1137"/>
      <c r="P1730" s="1136"/>
      <c r="Q1730" s="223"/>
      <c r="R1730" s="223"/>
      <c r="S1730" s="928"/>
      <c r="T1730" s="928"/>
      <c r="U1730" s="928"/>
      <c r="V1730" s="14" t="s">
        <v>61</v>
      </c>
      <c r="W1730" s="10"/>
      <c r="X1730" s="16">
        <f t="shared" si="88"/>
        <v>10000</v>
      </c>
      <c r="Y1730" s="16">
        <f t="shared" si="159"/>
        <v>0</v>
      </c>
      <c r="Z1730" s="10"/>
      <c r="AA1730" s="10"/>
      <c r="AB1730" s="10"/>
    </row>
    <row r="1731" spans="1:28" s="16" customFormat="1" ht="30">
      <c r="A1731" s="236"/>
      <c r="B1731" s="860"/>
      <c r="C1731" s="69" t="s">
        <v>961</v>
      </c>
      <c r="D1731" s="679">
        <v>40861</v>
      </c>
      <c r="E1731" s="1137" t="s">
        <v>5002</v>
      </c>
      <c r="F1731" s="1129" t="s">
        <v>5001</v>
      </c>
      <c r="G1731" s="354"/>
      <c r="H1731" s="456"/>
      <c r="I1731" s="456"/>
      <c r="J1731" s="455"/>
      <c r="K1731" s="455"/>
      <c r="L1731" s="457">
        <v>5000</v>
      </c>
      <c r="M1731" s="768">
        <f t="shared" si="161"/>
        <v>5000</v>
      </c>
      <c r="N1731" s="1137" t="s">
        <v>517</v>
      </c>
      <c r="O1731" s="1137"/>
      <c r="P1731" s="1136"/>
      <c r="Q1731" s="223"/>
      <c r="R1731" s="223"/>
      <c r="S1731" s="928"/>
      <c r="T1731" s="928"/>
      <c r="U1731" s="928"/>
      <c r="V1731" s="14" t="s">
        <v>61</v>
      </c>
      <c r="W1731" s="10"/>
      <c r="X1731" s="16">
        <f t="shared" si="88"/>
        <v>5000</v>
      </c>
      <c r="Y1731" s="16">
        <f t="shared" si="159"/>
        <v>0</v>
      </c>
      <c r="Z1731" s="10"/>
      <c r="AA1731" s="10"/>
      <c r="AB1731" s="10"/>
    </row>
    <row r="1732" spans="1:28" s="16" customFormat="1" ht="30">
      <c r="A1732" s="236"/>
      <c r="B1732" s="844"/>
      <c r="C1732" s="69" t="s">
        <v>962</v>
      </c>
      <c r="D1732" s="679">
        <v>40861</v>
      </c>
      <c r="E1732" s="1137" t="s">
        <v>5002</v>
      </c>
      <c r="F1732" s="1129" t="s">
        <v>5001</v>
      </c>
      <c r="G1732" s="354"/>
      <c r="H1732" s="456"/>
      <c r="I1732" s="456"/>
      <c r="J1732" s="455"/>
      <c r="K1732" s="455"/>
      <c r="L1732" s="457">
        <v>10000</v>
      </c>
      <c r="M1732" s="768">
        <f t="shared" si="161"/>
        <v>10000</v>
      </c>
      <c r="N1732" s="1137" t="s">
        <v>517</v>
      </c>
      <c r="O1732" s="1137"/>
      <c r="P1732" s="1136"/>
      <c r="Q1732" s="223"/>
      <c r="R1732" s="223"/>
      <c r="S1732" s="928"/>
      <c r="T1732" s="928"/>
      <c r="U1732" s="928"/>
      <c r="V1732" s="14" t="s">
        <v>61</v>
      </c>
      <c r="W1732" s="10"/>
      <c r="X1732" s="16">
        <f t="shared" si="88"/>
        <v>10000</v>
      </c>
      <c r="Y1732" s="16">
        <f t="shared" si="159"/>
        <v>0</v>
      </c>
      <c r="Z1732" s="10"/>
      <c r="AA1732" s="10"/>
      <c r="AB1732" s="10"/>
    </row>
    <row r="1733" spans="1:28" s="16" customFormat="1" ht="30">
      <c r="A1733" s="236"/>
      <c r="B1733" s="844"/>
      <c r="C1733" s="69" t="s">
        <v>963</v>
      </c>
      <c r="D1733" s="679">
        <v>40861</v>
      </c>
      <c r="E1733" s="1137" t="s">
        <v>5002</v>
      </c>
      <c r="F1733" s="1129" t="s">
        <v>5001</v>
      </c>
      <c r="G1733" s="354"/>
      <c r="H1733" s="456"/>
      <c r="I1733" s="456"/>
      <c r="J1733" s="455"/>
      <c r="K1733" s="455"/>
      <c r="L1733" s="457">
        <v>10000</v>
      </c>
      <c r="M1733" s="768">
        <f t="shared" si="161"/>
        <v>10000</v>
      </c>
      <c r="N1733" s="1137" t="s">
        <v>517</v>
      </c>
      <c r="O1733" s="1137"/>
      <c r="P1733" s="1136"/>
      <c r="Q1733" s="223"/>
      <c r="R1733" s="223"/>
      <c r="S1733" s="928"/>
      <c r="T1733" s="928"/>
      <c r="U1733" s="928"/>
      <c r="V1733" s="14" t="s">
        <v>61</v>
      </c>
      <c r="W1733" s="10"/>
      <c r="X1733" s="16">
        <f t="shared" si="88"/>
        <v>10000</v>
      </c>
      <c r="Y1733" s="16">
        <f t="shared" si="159"/>
        <v>0</v>
      </c>
      <c r="Z1733" s="10"/>
      <c r="AA1733" s="10"/>
      <c r="AB1733" s="10"/>
    </row>
    <row r="1734" spans="1:28" s="16" customFormat="1" ht="30">
      <c r="A1734" s="236"/>
      <c r="B1734" s="844"/>
      <c r="C1734" s="69" t="s">
        <v>964</v>
      </c>
      <c r="D1734" s="679">
        <v>40861</v>
      </c>
      <c r="E1734" s="1137" t="s">
        <v>5002</v>
      </c>
      <c r="F1734" s="1129" t="s">
        <v>5001</v>
      </c>
      <c r="G1734" s="354"/>
      <c r="H1734" s="456"/>
      <c r="I1734" s="456"/>
      <c r="J1734" s="455"/>
      <c r="K1734" s="455"/>
      <c r="L1734" s="457">
        <v>10000</v>
      </c>
      <c r="M1734" s="768">
        <f t="shared" si="161"/>
        <v>10000</v>
      </c>
      <c r="N1734" s="1137" t="s">
        <v>517</v>
      </c>
      <c r="O1734" s="1137"/>
      <c r="P1734" s="1136"/>
      <c r="Q1734" s="223"/>
      <c r="R1734" s="223"/>
      <c r="S1734" s="928"/>
      <c r="T1734" s="928"/>
      <c r="U1734" s="928"/>
      <c r="V1734" s="14" t="s">
        <v>61</v>
      </c>
      <c r="W1734" s="10"/>
      <c r="X1734" s="16">
        <f t="shared" si="88"/>
        <v>10000</v>
      </c>
      <c r="Y1734" s="16">
        <f t="shared" si="159"/>
        <v>0</v>
      </c>
      <c r="Z1734" s="10"/>
      <c r="AA1734" s="10"/>
      <c r="AB1734" s="10"/>
    </row>
    <row r="1735" spans="1:28" s="16" customFormat="1" ht="30">
      <c r="A1735" s="236"/>
      <c r="B1735" s="844"/>
      <c r="C1735" s="69" t="s">
        <v>965</v>
      </c>
      <c r="D1735" s="679">
        <v>40861</v>
      </c>
      <c r="E1735" s="1137" t="s">
        <v>5002</v>
      </c>
      <c r="F1735" s="1129" t="s">
        <v>5001</v>
      </c>
      <c r="G1735" s="354"/>
      <c r="H1735" s="456"/>
      <c r="I1735" s="456"/>
      <c r="J1735" s="455"/>
      <c r="K1735" s="455"/>
      <c r="L1735" s="457">
        <v>10000</v>
      </c>
      <c r="M1735" s="768">
        <f t="shared" si="161"/>
        <v>10000</v>
      </c>
      <c r="N1735" s="1137" t="s">
        <v>517</v>
      </c>
      <c r="O1735" s="1137"/>
      <c r="P1735" s="1136"/>
      <c r="Q1735" s="223"/>
      <c r="R1735" s="223"/>
      <c r="S1735" s="928"/>
      <c r="T1735" s="928"/>
      <c r="U1735" s="928"/>
      <c r="V1735" s="14" t="s">
        <v>61</v>
      </c>
      <c r="W1735" s="10"/>
      <c r="X1735" s="16">
        <f t="shared" si="88"/>
        <v>10000</v>
      </c>
      <c r="Y1735" s="16">
        <f t="shared" si="159"/>
        <v>0</v>
      </c>
      <c r="Z1735" s="10"/>
      <c r="AA1735" s="10"/>
      <c r="AB1735" s="10"/>
    </row>
    <row r="1736" spans="1:28" s="16" customFormat="1" ht="30">
      <c r="A1736" s="236"/>
      <c r="B1736" s="844"/>
      <c r="C1736" s="69" t="s">
        <v>966</v>
      </c>
      <c r="D1736" s="679">
        <v>40861</v>
      </c>
      <c r="E1736" s="1137" t="s">
        <v>5002</v>
      </c>
      <c r="F1736" s="1129" t="s">
        <v>5001</v>
      </c>
      <c r="G1736" s="354"/>
      <c r="H1736" s="456"/>
      <c r="I1736" s="456"/>
      <c r="J1736" s="455"/>
      <c r="K1736" s="455"/>
      <c r="L1736" s="457">
        <v>15000</v>
      </c>
      <c r="M1736" s="768">
        <f t="shared" si="161"/>
        <v>15000</v>
      </c>
      <c r="N1736" s="1137" t="s">
        <v>517</v>
      </c>
      <c r="O1736" s="1137"/>
      <c r="P1736" s="1136"/>
      <c r="Q1736" s="223"/>
      <c r="R1736" s="223"/>
      <c r="S1736" s="928"/>
      <c r="T1736" s="928"/>
      <c r="U1736" s="928"/>
      <c r="V1736" s="14" t="s">
        <v>61</v>
      </c>
      <c r="W1736" s="10"/>
      <c r="X1736" s="16">
        <f t="shared" ref="X1736:X1799" si="162">SUM(J1736:L1736)</f>
        <v>15000</v>
      </c>
      <c r="Y1736" s="16">
        <f t="shared" si="159"/>
        <v>0</v>
      </c>
      <c r="Z1736" s="10"/>
      <c r="AA1736" s="10"/>
      <c r="AB1736" s="10"/>
    </row>
    <row r="1737" spans="1:28" s="16" customFormat="1" ht="30">
      <c r="A1737" s="236"/>
      <c r="B1737" s="844"/>
      <c r="C1737" s="69" t="s">
        <v>967</v>
      </c>
      <c r="D1737" s="679">
        <v>40861</v>
      </c>
      <c r="E1737" s="1137" t="s">
        <v>5002</v>
      </c>
      <c r="F1737" s="1129" t="s">
        <v>5001</v>
      </c>
      <c r="G1737" s="354"/>
      <c r="H1737" s="456"/>
      <c r="I1737" s="456"/>
      <c r="J1737" s="455"/>
      <c r="K1737" s="455"/>
      <c r="L1737" s="457">
        <v>5000</v>
      </c>
      <c r="M1737" s="768">
        <f t="shared" si="161"/>
        <v>5000</v>
      </c>
      <c r="N1737" s="1137" t="s">
        <v>517</v>
      </c>
      <c r="O1737" s="1137"/>
      <c r="P1737" s="1136"/>
      <c r="Q1737" s="223"/>
      <c r="R1737" s="223"/>
      <c r="S1737" s="928"/>
      <c r="T1737" s="928"/>
      <c r="U1737" s="928"/>
      <c r="V1737" s="14" t="s">
        <v>61</v>
      </c>
      <c r="W1737" s="10"/>
      <c r="X1737" s="16">
        <f t="shared" si="162"/>
        <v>5000</v>
      </c>
      <c r="Y1737" s="16">
        <f t="shared" si="159"/>
        <v>0</v>
      </c>
      <c r="Z1737" s="10"/>
      <c r="AA1737" s="10"/>
      <c r="AB1737" s="10"/>
    </row>
    <row r="1738" spans="1:28" s="16" customFormat="1" ht="30">
      <c r="A1738" s="236"/>
      <c r="B1738" s="844"/>
      <c r="C1738" s="69" t="s">
        <v>968</v>
      </c>
      <c r="D1738" s="679">
        <v>40861</v>
      </c>
      <c r="E1738" s="1137" t="s">
        <v>5002</v>
      </c>
      <c r="F1738" s="1129" t="s">
        <v>5001</v>
      </c>
      <c r="G1738" s="354"/>
      <c r="H1738" s="456"/>
      <c r="I1738" s="456"/>
      <c r="J1738" s="455"/>
      <c r="K1738" s="455"/>
      <c r="L1738" s="457">
        <v>30000</v>
      </c>
      <c r="M1738" s="768">
        <f t="shared" si="161"/>
        <v>30000</v>
      </c>
      <c r="N1738" s="1137" t="s">
        <v>517</v>
      </c>
      <c r="O1738" s="1137"/>
      <c r="P1738" s="1136"/>
      <c r="Q1738" s="223"/>
      <c r="R1738" s="223"/>
      <c r="S1738" s="928"/>
      <c r="T1738" s="928"/>
      <c r="U1738" s="928"/>
      <c r="V1738" s="14" t="s">
        <v>61</v>
      </c>
      <c r="W1738" s="10"/>
      <c r="X1738" s="16">
        <f t="shared" si="162"/>
        <v>30000</v>
      </c>
      <c r="Y1738" s="16">
        <f t="shared" si="159"/>
        <v>0</v>
      </c>
      <c r="Z1738" s="10"/>
      <c r="AA1738" s="10"/>
      <c r="AB1738" s="10"/>
    </row>
    <row r="1739" spans="1:28" s="16" customFormat="1" ht="30">
      <c r="A1739" s="236"/>
      <c r="B1739" s="844"/>
      <c r="C1739" s="69" t="s">
        <v>969</v>
      </c>
      <c r="D1739" s="679">
        <v>40861</v>
      </c>
      <c r="E1739" s="1137" t="s">
        <v>5002</v>
      </c>
      <c r="F1739" s="1129" t="s">
        <v>5001</v>
      </c>
      <c r="G1739" s="354"/>
      <c r="H1739" s="456"/>
      <c r="I1739" s="456"/>
      <c r="J1739" s="455"/>
      <c r="K1739" s="455"/>
      <c r="L1739" s="457">
        <v>10000</v>
      </c>
      <c r="M1739" s="768">
        <f t="shared" si="161"/>
        <v>10000</v>
      </c>
      <c r="N1739" s="1137" t="s">
        <v>517</v>
      </c>
      <c r="O1739" s="1137"/>
      <c r="P1739" s="1136"/>
      <c r="Q1739" s="223"/>
      <c r="R1739" s="223"/>
      <c r="S1739" s="928"/>
      <c r="T1739" s="928"/>
      <c r="U1739" s="928"/>
      <c r="V1739" s="14" t="s">
        <v>61</v>
      </c>
      <c r="W1739" s="10"/>
      <c r="X1739" s="16">
        <f t="shared" si="162"/>
        <v>10000</v>
      </c>
      <c r="Y1739" s="16">
        <f t="shared" si="159"/>
        <v>0</v>
      </c>
      <c r="Z1739" s="10"/>
      <c r="AA1739" s="10"/>
      <c r="AB1739" s="10"/>
    </row>
    <row r="1740" spans="1:28" s="16" customFormat="1" ht="30">
      <c r="A1740" s="236"/>
      <c r="B1740" s="844"/>
      <c r="C1740" s="69" t="s">
        <v>970</v>
      </c>
      <c r="D1740" s="679">
        <v>40861</v>
      </c>
      <c r="E1740" s="1137" t="s">
        <v>5002</v>
      </c>
      <c r="F1740" s="1129" t="s">
        <v>5001</v>
      </c>
      <c r="G1740" s="354"/>
      <c r="H1740" s="456"/>
      <c r="I1740" s="456"/>
      <c r="J1740" s="455"/>
      <c r="K1740" s="455"/>
      <c r="L1740" s="457">
        <v>15000</v>
      </c>
      <c r="M1740" s="768">
        <f t="shared" si="161"/>
        <v>15000</v>
      </c>
      <c r="N1740" s="1137" t="s">
        <v>517</v>
      </c>
      <c r="O1740" s="1137"/>
      <c r="P1740" s="1136"/>
      <c r="Q1740" s="223"/>
      <c r="R1740" s="223"/>
      <c r="S1740" s="928"/>
      <c r="T1740" s="928"/>
      <c r="U1740" s="928"/>
      <c r="V1740" s="14" t="s">
        <v>61</v>
      </c>
      <c r="W1740" s="10"/>
      <c r="X1740" s="16">
        <f t="shared" si="162"/>
        <v>15000</v>
      </c>
      <c r="Y1740" s="16">
        <f t="shared" si="159"/>
        <v>0</v>
      </c>
      <c r="Z1740" s="10"/>
      <c r="AA1740" s="10"/>
      <c r="AB1740" s="10"/>
    </row>
    <row r="1741" spans="1:28" s="16" customFormat="1" ht="30">
      <c r="A1741" s="236"/>
      <c r="B1741" s="844"/>
      <c r="C1741" s="69" t="s">
        <v>971</v>
      </c>
      <c r="D1741" s="679">
        <v>40861</v>
      </c>
      <c r="E1741" s="1137" t="s">
        <v>5002</v>
      </c>
      <c r="F1741" s="1129" t="s">
        <v>5001</v>
      </c>
      <c r="G1741" s="354"/>
      <c r="H1741" s="456"/>
      <c r="I1741" s="456"/>
      <c r="J1741" s="455"/>
      <c r="K1741" s="455"/>
      <c r="L1741" s="457">
        <v>10000</v>
      </c>
      <c r="M1741" s="768">
        <f t="shared" si="161"/>
        <v>10000</v>
      </c>
      <c r="N1741" s="1137" t="s">
        <v>517</v>
      </c>
      <c r="O1741" s="1137"/>
      <c r="P1741" s="1136"/>
      <c r="Q1741" s="223"/>
      <c r="R1741" s="223"/>
      <c r="S1741" s="928"/>
      <c r="T1741" s="928"/>
      <c r="U1741" s="928"/>
      <c r="V1741" s="14" t="s">
        <v>61</v>
      </c>
      <c r="W1741" s="10"/>
      <c r="X1741" s="16">
        <f t="shared" si="162"/>
        <v>10000</v>
      </c>
      <c r="Y1741" s="16">
        <f t="shared" si="159"/>
        <v>0</v>
      </c>
      <c r="Z1741" s="10"/>
      <c r="AA1741" s="10"/>
      <c r="AB1741" s="10"/>
    </row>
    <row r="1742" spans="1:28" s="16" customFormat="1" ht="30">
      <c r="A1742" s="236"/>
      <c r="B1742" s="844"/>
      <c r="C1742" s="69" t="s">
        <v>972</v>
      </c>
      <c r="D1742" s="679">
        <v>40861</v>
      </c>
      <c r="E1742" s="1137" t="s">
        <v>5002</v>
      </c>
      <c r="F1742" s="1129" t="s">
        <v>5001</v>
      </c>
      <c r="G1742" s="354"/>
      <c r="H1742" s="456"/>
      <c r="I1742" s="456"/>
      <c r="J1742" s="455"/>
      <c r="K1742" s="455"/>
      <c r="L1742" s="457">
        <v>10000</v>
      </c>
      <c r="M1742" s="768">
        <f t="shared" si="161"/>
        <v>10000</v>
      </c>
      <c r="N1742" s="1137" t="s">
        <v>517</v>
      </c>
      <c r="O1742" s="1137"/>
      <c r="P1742" s="1136"/>
      <c r="Q1742" s="223"/>
      <c r="R1742" s="223"/>
      <c r="S1742" s="928"/>
      <c r="T1742" s="928"/>
      <c r="U1742" s="928"/>
      <c r="V1742" s="14" t="s">
        <v>61</v>
      </c>
      <c r="W1742" s="10"/>
      <c r="X1742" s="16">
        <f t="shared" si="162"/>
        <v>10000</v>
      </c>
      <c r="Y1742" s="16">
        <f t="shared" si="159"/>
        <v>0</v>
      </c>
      <c r="Z1742" s="10"/>
      <c r="AA1742" s="10"/>
      <c r="AB1742" s="10"/>
    </row>
    <row r="1743" spans="1:28" s="16" customFormat="1" ht="30">
      <c r="A1743" s="236"/>
      <c r="B1743" s="844"/>
      <c r="C1743" s="69" t="s">
        <v>973</v>
      </c>
      <c r="D1743" s="679">
        <v>40861</v>
      </c>
      <c r="E1743" s="1137" t="s">
        <v>5002</v>
      </c>
      <c r="F1743" s="1129" t="s">
        <v>5001</v>
      </c>
      <c r="G1743" s="354"/>
      <c r="H1743" s="456"/>
      <c r="I1743" s="456"/>
      <c r="J1743" s="455"/>
      <c r="K1743" s="455"/>
      <c r="L1743" s="457">
        <v>10000</v>
      </c>
      <c r="M1743" s="768">
        <f t="shared" si="161"/>
        <v>10000</v>
      </c>
      <c r="N1743" s="1137" t="s">
        <v>517</v>
      </c>
      <c r="O1743" s="1137"/>
      <c r="P1743" s="1136"/>
      <c r="Q1743" s="223"/>
      <c r="R1743" s="223"/>
      <c r="S1743" s="928"/>
      <c r="T1743" s="928"/>
      <c r="U1743" s="928"/>
      <c r="V1743" s="14" t="s">
        <v>61</v>
      </c>
      <c r="W1743" s="10"/>
      <c r="X1743" s="16">
        <f t="shared" si="162"/>
        <v>10000</v>
      </c>
      <c r="Y1743" s="16">
        <f t="shared" si="159"/>
        <v>0</v>
      </c>
      <c r="Z1743" s="10"/>
      <c r="AA1743" s="10"/>
      <c r="AB1743" s="10"/>
    </row>
    <row r="1744" spans="1:28" s="16" customFormat="1" ht="30">
      <c r="A1744" s="236"/>
      <c r="B1744" s="844"/>
      <c r="C1744" s="69" t="s">
        <v>974</v>
      </c>
      <c r="D1744" s="679">
        <v>40861</v>
      </c>
      <c r="E1744" s="1137" t="s">
        <v>5002</v>
      </c>
      <c r="F1744" s="1129" t="s">
        <v>5001</v>
      </c>
      <c r="G1744" s="354"/>
      <c r="H1744" s="456"/>
      <c r="I1744" s="456"/>
      <c r="J1744" s="455"/>
      <c r="K1744" s="455"/>
      <c r="L1744" s="457">
        <v>10000</v>
      </c>
      <c r="M1744" s="768">
        <f t="shared" si="161"/>
        <v>10000</v>
      </c>
      <c r="N1744" s="1137" t="s">
        <v>517</v>
      </c>
      <c r="O1744" s="1137"/>
      <c r="P1744" s="1136"/>
      <c r="Q1744" s="223"/>
      <c r="R1744" s="223"/>
      <c r="S1744" s="928"/>
      <c r="T1744" s="928"/>
      <c r="U1744" s="928"/>
      <c r="V1744" s="14" t="s">
        <v>61</v>
      </c>
      <c r="W1744" s="10"/>
      <c r="X1744" s="16">
        <f t="shared" si="162"/>
        <v>10000</v>
      </c>
      <c r="Y1744" s="16">
        <f t="shared" si="159"/>
        <v>0</v>
      </c>
      <c r="Z1744" s="10"/>
      <c r="AA1744" s="10"/>
      <c r="AB1744" s="10"/>
    </row>
    <row r="1745" spans="1:28" s="16" customFormat="1" ht="30">
      <c r="A1745" s="236"/>
      <c r="B1745" s="844"/>
      <c r="C1745" s="69" t="s">
        <v>975</v>
      </c>
      <c r="D1745" s="679">
        <v>40861</v>
      </c>
      <c r="E1745" s="1137" t="s">
        <v>5002</v>
      </c>
      <c r="F1745" s="1129" t="s">
        <v>5001</v>
      </c>
      <c r="G1745" s="354"/>
      <c r="H1745" s="456"/>
      <c r="I1745" s="456"/>
      <c r="J1745" s="455"/>
      <c r="K1745" s="455"/>
      <c r="L1745" s="457">
        <v>5000</v>
      </c>
      <c r="M1745" s="768">
        <f t="shared" si="161"/>
        <v>5000</v>
      </c>
      <c r="N1745" s="1137" t="s">
        <v>517</v>
      </c>
      <c r="O1745" s="1137"/>
      <c r="P1745" s="1136"/>
      <c r="Q1745" s="223"/>
      <c r="R1745" s="223"/>
      <c r="S1745" s="928"/>
      <c r="T1745" s="928"/>
      <c r="U1745" s="928"/>
      <c r="V1745" s="14" t="s">
        <v>61</v>
      </c>
      <c r="W1745" s="10"/>
      <c r="X1745" s="16">
        <f t="shared" si="162"/>
        <v>5000</v>
      </c>
      <c r="Y1745" s="16">
        <f t="shared" si="159"/>
        <v>0</v>
      </c>
      <c r="Z1745" s="10"/>
      <c r="AA1745" s="10"/>
      <c r="AB1745" s="10"/>
    </row>
    <row r="1746" spans="1:28" s="16" customFormat="1" ht="30">
      <c r="A1746" s="236"/>
      <c r="B1746" s="844"/>
      <c r="C1746" s="69" t="s">
        <v>976</v>
      </c>
      <c r="D1746" s="679">
        <v>40861</v>
      </c>
      <c r="E1746" s="1137" t="s">
        <v>5002</v>
      </c>
      <c r="F1746" s="1129" t="s">
        <v>5001</v>
      </c>
      <c r="G1746" s="354"/>
      <c r="H1746" s="456"/>
      <c r="I1746" s="456"/>
      <c r="J1746" s="455"/>
      <c r="K1746" s="455"/>
      <c r="L1746" s="457">
        <v>4000</v>
      </c>
      <c r="M1746" s="768">
        <f t="shared" si="161"/>
        <v>4000</v>
      </c>
      <c r="N1746" s="1137" t="s">
        <v>517</v>
      </c>
      <c r="O1746" s="1137"/>
      <c r="P1746" s="1136"/>
      <c r="Q1746" s="223"/>
      <c r="R1746" s="223"/>
      <c r="S1746" s="928"/>
      <c r="T1746" s="928"/>
      <c r="U1746" s="928"/>
      <c r="V1746" s="14" t="s">
        <v>61</v>
      </c>
      <c r="W1746" s="10"/>
      <c r="X1746" s="16">
        <f t="shared" si="162"/>
        <v>4000</v>
      </c>
      <c r="Y1746" s="16">
        <f t="shared" si="159"/>
        <v>0</v>
      </c>
      <c r="Z1746" s="10"/>
      <c r="AA1746" s="10"/>
      <c r="AB1746" s="10"/>
    </row>
    <row r="1747" spans="1:28" s="16" customFormat="1" ht="30">
      <c r="A1747" s="236"/>
      <c r="B1747" s="844"/>
      <c r="C1747" s="69" t="s">
        <v>977</v>
      </c>
      <c r="D1747" s="679">
        <v>40861</v>
      </c>
      <c r="E1747" s="1137" t="s">
        <v>5002</v>
      </c>
      <c r="F1747" s="1129" t="s">
        <v>5001</v>
      </c>
      <c r="G1747" s="354"/>
      <c r="H1747" s="456"/>
      <c r="I1747" s="456"/>
      <c r="J1747" s="455"/>
      <c r="K1747" s="455"/>
      <c r="L1747" s="457">
        <v>1000</v>
      </c>
      <c r="M1747" s="768">
        <f t="shared" si="161"/>
        <v>1000</v>
      </c>
      <c r="N1747" s="1137" t="s">
        <v>517</v>
      </c>
      <c r="O1747" s="1137"/>
      <c r="P1747" s="1136"/>
      <c r="Q1747" s="223"/>
      <c r="R1747" s="223"/>
      <c r="S1747" s="928"/>
      <c r="T1747" s="928"/>
      <c r="U1747" s="928"/>
      <c r="V1747" s="14" t="s">
        <v>61</v>
      </c>
      <c r="W1747" s="10"/>
      <c r="X1747" s="16">
        <f t="shared" si="162"/>
        <v>1000</v>
      </c>
      <c r="Y1747" s="16">
        <f t="shared" si="159"/>
        <v>0</v>
      </c>
      <c r="Z1747" s="10"/>
      <c r="AA1747" s="10"/>
      <c r="AB1747" s="10"/>
    </row>
    <row r="1748" spans="1:28" s="16" customFormat="1" ht="30">
      <c r="A1748" s="236"/>
      <c r="B1748" s="844"/>
      <c r="C1748" s="69" t="s">
        <v>978</v>
      </c>
      <c r="D1748" s="679">
        <v>40870</v>
      </c>
      <c r="E1748" s="1137" t="s">
        <v>5002</v>
      </c>
      <c r="F1748" s="1129" t="s">
        <v>5001</v>
      </c>
      <c r="G1748" s="354"/>
      <c r="H1748" s="456"/>
      <c r="I1748" s="456"/>
      <c r="J1748" s="455"/>
      <c r="K1748" s="455"/>
      <c r="L1748" s="457">
        <v>819000</v>
      </c>
      <c r="M1748" s="768">
        <f t="shared" si="161"/>
        <v>819000</v>
      </c>
      <c r="N1748" s="1137" t="s">
        <v>517</v>
      </c>
      <c r="O1748" s="1137"/>
      <c r="P1748" s="1136"/>
      <c r="Q1748" s="223"/>
      <c r="R1748" s="223"/>
      <c r="S1748" s="928"/>
      <c r="T1748" s="928"/>
      <c r="U1748" s="928"/>
      <c r="V1748" s="14" t="s">
        <v>61</v>
      </c>
      <c r="W1748" s="10"/>
      <c r="X1748" s="16">
        <f t="shared" si="162"/>
        <v>819000</v>
      </c>
      <c r="Y1748" s="16">
        <f t="shared" si="159"/>
        <v>0</v>
      </c>
      <c r="Z1748" s="10"/>
      <c r="AA1748" s="10"/>
      <c r="AB1748" s="10"/>
    </row>
    <row r="1749" spans="1:28" s="16" customFormat="1" ht="30">
      <c r="A1749" s="236"/>
      <c r="B1749" s="844"/>
      <c r="C1749" s="69" t="s">
        <v>979</v>
      </c>
      <c r="D1749" s="679">
        <v>40879</v>
      </c>
      <c r="E1749" s="1137" t="s">
        <v>5002</v>
      </c>
      <c r="F1749" s="1129" t="s">
        <v>5001</v>
      </c>
      <c r="G1749" s="354"/>
      <c r="H1749" s="456"/>
      <c r="I1749" s="456"/>
      <c r="J1749" s="455"/>
      <c r="K1749" s="455"/>
      <c r="L1749" s="457">
        <v>5000</v>
      </c>
      <c r="M1749" s="768">
        <f t="shared" si="161"/>
        <v>5000</v>
      </c>
      <c r="N1749" s="1137" t="s">
        <v>517</v>
      </c>
      <c r="O1749" s="1137"/>
      <c r="P1749" s="1136"/>
      <c r="Q1749" s="223"/>
      <c r="R1749" s="223"/>
      <c r="S1749" s="928"/>
      <c r="T1749" s="928"/>
      <c r="U1749" s="928"/>
      <c r="V1749" s="14" t="s">
        <v>61</v>
      </c>
      <c r="W1749" s="10"/>
      <c r="X1749" s="16">
        <f t="shared" si="162"/>
        <v>5000</v>
      </c>
      <c r="Y1749" s="16">
        <f t="shared" si="159"/>
        <v>0</v>
      </c>
      <c r="Z1749" s="10"/>
      <c r="AA1749" s="10"/>
      <c r="AB1749" s="10"/>
    </row>
    <row r="1750" spans="1:28" s="16" customFormat="1" ht="30">
      <c r="A1750" s="236"/>
      <c r="B1750" s="844"/>
      <c r="C1750" s="69" t="s">
        <v>980</v>
      </c>
      <c r="D1750" s="679">
        <v>40883</v>
      </c>
      <c r="E1750" s="1137" t="s">
        <v>5002</v>
      </c>
      <c r="F1750" s="1129" t="s">
        <v>5001</v>
      </c>
      <c r="G1750" s="354"/>
      <c r="H1750" s="456"/>
      <c r="I1750" s="456"/>
      <c r="J1750" s="455"/>
      <c r="K1750" s="455"/>
      <c r="L1750" s="457">
        <v>5000</v>
      </c>
      <c r="M1750" s="768">
        <f t="shared" si="161"/>
        <v>5000</v>
      </c>
      <c r="N1750" s="1137" t="s">
        <v>517</v>
      </c>
      <c r="O1750" s="1137"/>
      <c r="P1750" s="1136"/>
      <c r="Q1750" s="223"/>
      <c r="R1750" s="223"/>
      <c r="S1750" s="928"/>
      <c r="T1750" s="928"/>
      <c r="U1750" s="928"/>
      <c r="V1750" s="14" t="s">
        <v>61</v>
      </c>
      <c r="W1750" s="10"/>
      <c r="X1750" s="16">
        <f t="shared" si="162"/>
        <v>5000</v>
      </c>
      <c r="Y1750" s="16">
        <f t="shared" si="159"/>
        <v>0</v>
      </c>
      <c r="Z1750" s="10"/>
      <c r="AA1750" s="10"/>
      <c r="AB1750" s="10"/>
    </row>
    <row r="1751" spans="1:28" s="16" customFormat="1" ht="30">
      <c r="A1751" s="236"/>
      <c r="B1751" s="844"/>
      <c r="C1751" s="69" t="s">
        <v>981</v>
      </c>
      <c r="D1751" s="679">
        <v>40883</v>
      </c>
      <c r="E1751" s="1137" t="s">
        <v>5002</v>
      </c>
      <c r="F1751" s="1129" t="s">
        <v>5001</v>
      </c>
      <c r="G1751" s="354"/>
      <c r="H1751" s="456"/>
      <c r="I1751" s="456"/>
      <c r="J1751" s="455"/>
      <c r="K1751" s="455"/>
      <c r="L1751" s="457">
        <v>30000</v>
      </c>
      <c r="M1751" s="768">
        <f t="shared" si="161"/>
        <v>30000</v>
      </c>
      <c r="N1751" s="1137" t="s">
        <v>517</v>
      </c>
      <c r="O1751" s="1137"/>
      <c r="P1751" s="1136"/>
      <c r="Q1751" s="223"/>
      <c r="R1751" s="223"/>
      <c r="S1751" s="928"/>
      <c r="T1751" s="928"/>
      <c r="U1751" s="928"/>
      <c r="V1751" s="14" t="s">
        <v>61</v>
      </c>
      <c r="W1751" s="10"/>
      <c r="X1751" s="16">
        <f t="shared" si="162"/>
        <v>30000</v>
      </c>
      <c r="Y1751" s="16">
        <f t="shared" si="159"/>
        <v>0</v>
      </c>
      <c r="Z1751" s="10"/>
      <c r="AA1751" s="10"/>
      <c r="AB1751" s="10"/>
    </row>
    <row r="1752" spans="1:28" s="16" customFormat="1" ht="30">
      <c r="A1752" s="236"/>
      <c r="B1752" s="844"/>
      <c r="C1752" s="69" t="s">
        <v>982</v>
      </c>
      <c r="D1752" s="679">
        <v>40883</v>
      </c>
      <c r="E1752" s="1137" t="s">
        <v>5002</v>
      </c>
      <c r="F1752" s="1129" t="s">
        <v>5001</v>
      </c>
      <c r="G1752" s="354"/>
      <c r="H1752" s="456"/>
      <c r="I1752" s="456"/>
      <c r="J1752" s="455"/>
      <c r="K1752" s="455"/>
      <c r="L1752" s="457">
        <v>5000</v>
      </c>
      <c r="M1752" s="768">
        <f t="shared" si="161"/>
        <v>5000</v>
      </c>
      <c r="N1752" s="1137" t="s">
        <v>517</v>
      </c>
      <c r="O1752" s="1137"/>
      <c r="P1752" s="1136"/>
      <c r="Q1752" s="223"/>
      <c r="R1752" s="223"/>
      <c r="S1752" s="928"/>
      <c r="T1752" s="928"/>
      <c r="U1752" s="928"/>
      <c r="V1752" s="14" t="s">
        <v>61</v>
      </c>
      <c r="W1752" s="10"/>
      <c r="X1752" s="16">
        <f t="shared" si="162"/>
        <v>5000</v>
      </c>
      <c r="Y1752" s="16">
        <f t="shared" si="159"/>
        <v>0</v>
      </c>
      <c r="Z1752" s="10"/>
      <c r="AA1752" s="10"/>
      <c r="AB1752" s="10"/>
    </row>
    <row r="1753" spans="1:28" s="16" customFormat="1" ht="30">
      <c r="A1753" s="236"/>
      <c r="B1753" s="844"/>
      <c r="C1753" s="69" t="s">
        <v>983</v>
      </c>
      <c r="D1753" s="679">
        <v>40883</v>
      </c>
      <c r="E1753" s="1137" t="s">
        <v>5002</v>
      </c>
      <c r="F1753" s="1129" t="s">
        <v>5001</v>
      </c>
      <c r="G1753" s="354"/>
      <c r="H1753" s="456"/>
      <c r="I1753" s="456"/>
      <c r="J1753" s="455"/>
      <c r="K1753" s="455"/>
      <c r="L1753" s="457">
        <v>58192</v>
      </c>
      <c r="M1753" s="768">
        <f t="shared" si="161"/>
        <v>58192</v>
      </c>
      <c r="N1753" s="1137" t="s">
        <v>517</v>
      </c>
      <c r="O1753" s="1137"/>
      <c r="P1753" s="1136"/>
      <c r="Q1753" s="223"/>
      <c r="R1753" s="223"/>
      <c r="S1753" s="928"/>
      <c r="T1753" s="928"/>
      <c r="U1753" s="928"/>
      <c r="V1753" s="14" t="s">
        <v>61</v>
      </c>
      <c r="W1753" s="10"/>
      <c r="X1753" s="16">
        <f t="shared" si="162"/>
        <v>58192</v>
      </c>
      <c r="Y1753" s="16">
        <f t="shared" si="159"/>
        <v>0</v>
      </c>
      <c r="Z1753" s="10"/>
      <c r="AA1753" s="10"/>
      <c r="AB1753" s="10"/>
    </row>
    <row r="1754" spans="1:28" s="16" customFormat="1" ht="30">
      <c r="A1754" s="236"/>
      <c r="B1754" s="844"/>
      <c r="C1754" s="69" t="s">
        <v>984</v>
      </c>
      <c r="D1754" s="679">
        <v>40885</v>
      </c>
      <c r="E1754" s="1137" t="s">
        <v>5002</v>
      </c>
      <c r="F1754" s="1129" t="s">
        <v>5001</v>
      </c>
      <c r="G1754" s="354"/>
      <c r="H1754" s="456"/>
      <c r="I1754" s="456"/>
      <c r="J1754" s="455"/>
      <c r="K1754" s="455"/>
      <c r="L1754" s="457">
        <v>5000</v>
      </c>
      <c r="M1754" s="768">
        <f t="shared" si="161"/>
        <v>5000</v>
      </c>
      <c r="N1754" s="1137" t="s">
        <v>517</v>
      </c>
      <c r="O1754" s="1137"/>
      <c r="P1754" s="1136"/>
      <c r="Q1754" s="223"/>
      <c r="R1754" s="223"/>
      <c r="S1754" s="928"/>
      <c r="T1754" s="928"/>
      <c r="U1754" s="928"/>
      <c r="V1754" s="14" t="s">
        <v>61</v>
      </c>
      <c r="W1754" s="10"/>
      <c r="X1754" s="16">
        <f t="shared" si="162"/>
        <v>5000</v>
      </c>
      <c r="Y1754" s="16">
        <f t="shared" si="159"/>
        <v>0</v>
      </c>
      <c r="Z1754" s="10"/>
      <c r="AA1754" s="10"/>
      <c r="AB1754" s="10"/>
    </row>
    <row r="1755" spans="1:28" s="16" customFormat="1" ht="30">
      <c r="A1755" s="236"/>
      <c r="B1755" s="844"/>
      <c r="C1755" s="69" t="s">
        <v>985</v>
      </c>
      <c r="D1755" s="679">
        <v>40885</v>
      </c>
      <c r="E1755" s="1137" t="s">
        <v>5002</v>
      </c>
      <c r="F1755" s="1129" t="s">
        <v>5001</v>
      </c>
      <c r="G1755" s="354"/>
      <c r="H1755" s="456"/>
      <c r="I1755" s="456"/>
      <c r="J1755" s="455"/>
      <c r="K1755" s="455"/>
      <c r="L1755" s="457">
        <v>2500</v>
      </c>
      <c r="M1755" s="768">
        <f t="shared" si="161"/>
        <v>2500</v>
      </c>
      <c r="N1755" s="1137" t="s">
        <v>517</v>
      </c>
      <c r="O1755" s="1137"/>
      <c r="P1755" s="1136"/>
      <c r="Q1755" s="223"/>
      <c r="R1755" s="223"/>
      <c r="S1755" s="928"/>
      <c r="T1755" s="928"/>
      <c r="U1755" s="928"/>
      <c r="V1755" s="14" t="s">
        <v>61</v>
      </c>
      <c r="W1755" s="10"/>
      <c r="X1755" s="16">
        <f t="shared" si="162"/>
        <v>2500</v>
      </c>
      <c r="Y1755" s="16">
        <f t="shared" si="159"/>
        <v>0</v>
      </c>
      <c r="Z1755" s="10"/>
      <c r="AA1755" s="10"/>
      <c r="AB1755" s="10"/>
    </row>
    <row r="1756" spans="1:28" s="16" customFormat="1" ht="30">
      <c r="A1756" s="236"/>
      <c r="B1756" s="844"/>
      <c r="C1756" s="69" t="s">
        <v>986</v>
      </c>
      <c r="D1756" s="679">
        <v>40885</v>
      </c>
      <c r="E1756" s="1137" t="s">
        <v>5002</v>
      </c>
      <c r="F1756" s="1129" t="s">
        <v>5001</v>
      </c>
      <c r="G1756" s="354"/>
      <c r="H1756" s="456"/>
      <c r="I1756" s="456"/>
      <c r="J1756" s="455"/>
      <c r="K1756" s="455"/>
      <c r="L1756" s="457">
        <v>5000</v>
      </c>
      <c r="M1756" s="768">
        <f t="shared" si="161"/>
        <v>5000</v>
      </c>
      <c r="N1756" s="1137" t="s">
        <v>517</v>
      </c>
      <c r="O1756" s="1137"/>
      <c r="P1756" s="1136"/>
      <c r="Q1756" s="223"/>
      <c r="R1756" s="223"/>
      <c r="S1756" s="928"/>
      <c r="T1756" s="928"/>
      <c r="U1756" s="928"/>
      <c r="V1756" s="14" t="s">
        <v>61</v>
      </c>
      <c r="W1756" s="10"/>
      <c r="X1756" s="16">
        <f t="shared" si="162"/>
        <v>5000</v>
      </c>
      <c r="Y1756" s="16">
        <f t="shared" si="159"/>
        <v>0</v>
      </c>
      <c r="Z1756" s="10"/>
      <c r="AA1756" s="10"/>
      <c r="AB1756" s="10"/>
    </row>
    <row r="1757" spans="1:28" s="16" customFormat="1" ht="30">
      <c r="A1757" s="236"/>
      <c r="B1757" s="844"/>
      <c r="C1757" s="69" t="s">
        <v>987</v>
      </c>
      <c r="D1757" s="679">
        <v>40885</v>
      </c>
      <c r="E1757" s="1137" t="s">
        <v>5002</v>
      </c>
      <c r="F1757" s="1129" t="s">
        <v>5001</v>
      </c>
      <c r="G1757" s="354"/>
      <c r="H1757" s="456"/>
      <c r="I1757" s="456"/>
      <c r="J1757" s="455"/>
      <c r="K1757" s="455"/>
      <c r="L1757" s="457">
        <v>10000</v>
      </c>
      <c r="M1757" s="768">
        <f t="shared" si="161"/>
        <v>10000</v>
      </c>
      <c r="N1757" s="1137" t="s">
        <v>517</v>
      </c>
      <c r="O1757" s="1137"/>
      <c r="P1757" s="1136"/>
      <c r="Q1757" s="223"/>
      <c r="R1757" s="223"/>
      <c r="S1757" s="928"/>
      <c r="T1757" s="928"/>
      <c r="U1757" s="928"/>
      <c r="V1757" s="14" t="s">
        <v>61</v>
      </c>
      <c r="W1757" s="10"/>
      <c r="X1757" s="16">
        <f t="shared" si="162"/>
        <v>10000</v>
      </c>
      <c r="Y1757" s="16">
        <f t="shared" si="159"/>
        <v>0</v>
      </c>
      <c r="Z1757" s="10"/>
      <c r="AA1757" s="10"/>
      <c r="AB1757" s="10"/>
    </row>
    <row r="1758" spans="1:28" s="16" customFormat="1" ht="30">
      <c r="A1758" s="236"/>
      <c r="B1758" s="844"/>
      <c r="C1758" s="69" t="s">
        <v>988</v>
      </c>
      <c r="D1758" s="679">
        <v>40885</v>
      </c>
      <c r="E1758" s="1137" t="s">
        <v>5002</v>
      </c>
      <c r="F1758" s="1129" t="s">
        <v>5001</v>
      </c>
      <c r="G1758" s="354"/>
      <c r="H1758" s="456"/>
      <c r="I1758" s="456"/>
      <c r="J1758" s="455"/>
      <c r="K1758" s="455"/>
      <c r="L1758" s="457">
        <v>2500</v>
      </c>
      <c r="M1758" s="768">
        <f t="shared" si="161"/>
        <v>2500</v>
      </c>
      <c r="N1758" s="1137" t="s">
        <v>517</v>
      </c>
      <c r="O1758" s="1137"/>
      <c r="P1758" s="1136"/>
      <c r="Q1758" s="223"/>
      <c r="R1758" s="223"/>
      <c r="S1758" s="928"/>
      <c r="T1758" s="928"/>
      <c r="U1758" s="928"/>
      <c r="V1758" s="14" t="s">
        <v>61</v>
      </c>
      <c r="W1758" s="10"/>
      <c r="X1758" s="16">
        <f t="shared" si="162"/>
        <v>2500</v>
      </c>
      <c r="Y1758" s="16">
        <f t="shared" si="159"/>
        <v>0</v>
      </c>
      <c r="Z1758" s="10"/>
      <c r="AA1758" s="10"/>
      <c r="AB1758" s="10"/>
    </row>
    <row r="1759" spans="1:28" s="16" customFormat="1" ht="30">
      <c r="A1759" s="236"/>
      <c r="B1759" s="844"/>
      <c r="C1759" s="69" t="s">
        <v>989</v>
      </c>
      <c r="D1759" s="679">
        <v>40885</v>
      </c>
      <c r="E1759" s="1137" t="s">
        <v>5002</v>
      </c>
      <c r="F1759" s="1129" t="s">
        <v>5001</v>
      </c>
      <c r="G1759" s="354"/>
      <c r="H1759" s="456"/>
      <c r="I1759" s="456"/>
      <c r="J1759" s="455"/>
      <c r="K1759" s="455"/>
      <c r="L1759" s="457">
        <v>15000</v>
      </c>
      <c r="M1759" s="768">
        <f t="shared" si="161"/>
        <v>15000</v>
      </c>
      <c r="N1759" s="1137" t="s">
        <v>517</v>
      </c>
      <c r="O1759" s="1137"/>
      <c r="P1759" s="1136"/>
      <c r="Q1759" s="223"/>
      <c r="R1759" s="223"/>
      <c r="S1759" s="928"/>
      <c r="T1759" s="928"/>
      <c r="U1759" s="928"/>
      <c r="V1759" s="14" t="s">
        <v>61</v>
      </c>
      <c r="W1759" s="10"/>
      <c r="X1759" s="16">
        <f t="shared" si="162"/>
        <v>15000</v>
      </c>
      <c r="Y1759" s="16">
        <f t="shared" si="159"/>
        <v>0</v>
      </c>
      <c r="Z1759" s="10"/>
      <c r="AA1759" s="10"/>
      <c r="AB1759" s="10"/>
    </row>
    <row r="1760" spans="1:28" s="16" customFormat="1" ht="30">
      <c r="A1760" s="236"/>
      <c r="B1760" s="844"/>
      <c r="C1760" s="69" t="s">
        <v>990</v>
      </c>
      <c r="D1760" s="679">
        <v>40890</v>
      </c>
      <c r="E1760" s="1137" t="s">
        <v>5002</v>
      </c>
      <c r="F1760" s="1129" t="s">
        <v>5001</v>
      </c>
      <c r="G1760" s="354"/>
      <c r="H1760" s="456"/>
      <c r="I1760" s="456"/>
      <c r="J1760" s="455"/>
      <c r="K1760" s="455"/>
      <c r="L1760" s="457">
        <v>20000</v>
      </c>
      <c r="M1760" s="768">
        <f t="shared" si="161"/>
        <v>20000</v>
      </c>
      <c r="N1760" s="1137" t="s">
        <v>517</v>
      </c>
      <c r="O1760" s="1137"/>
      <c r="P1760" s="1136"/>
      <c r="Q1760" s="223"/>
      <c r="R1760" s="223"/>
      <c r="S1760" s="928"/>
      <c r="T1760" s="928"/>
      <c r="U1760" s="928"/>
      <c r="V1760" s="14" t="s">
        <v>61</v>
      </c>
      <c r="W1760" s="10"/>
      <c r="X1760" s="16">
        <f t="shared" si="162"/>
        <v>20000</v>
      </c>
      <c r="Y1760" s="16">
        <f t="shared" si="159"/>
        <v>0</v>
      </c>
      <c r="Z1760" s="10"/>
      <c r="AA1760" s="10"/>
      <c r="AB1760" s="10"/>
    </row>
    <row r="1761" spans="1:28" s="16" customFormat="1" ht="30">
      <c r="A1761" s="236"/>
      <c r="B1761" s="844"/>
      <c r="C1761" s="69" t="s">
        <v>991</v>
      </c>
      <c r="D1761" s="679">
        <v>40890</v>
      </c>
      <c r="E1761" s="1137" t="s">
        <v>5002</v>
      </c>
      <c r="F1761" s="1129" t="s">
        <v>5001</v>
      </c>
      <c r="G1761" s="354"/>
      <c r="H1761" s="456"/>
      <c r="I1761" s="456"/>
      <c r="J1761" s="455"/>
      <c r="K1761" s="455"/>
      <c r="L1761" s="457">
        <v>10000</v>
      </c>
      <c r="M1761" s="768">
        <f t="shared" si="161"/>
        <v>10000</v>
      </c>
      <c r="N1761" s="1137" t="s">
        <v>517</v>
      </c>
      <c r="O1761" s="1137"/>
      <c r="P1761" s="1136"/>
      <c r="Q1761" s="223"/>
      <c r="R1761" s="223"/>
      <c r="S1761" s="928"/>
      <c r="T1761" s="928"/>
      <c r="U1761" s="928"/>
      <c r="V1761" s="14" t="s">
        <v>61</v>
      </c>
      <c r="W1761" s="10"/>
      <c r="X1761" s="16">
        <f t="shared" si="162"/>
        <v>10000</v>
      </c>
      <c r="Y1761" s="16">
        <f t="shared" si="159"/>
        <v>0</v>
      </c>
      <c r="Z1761" s="10"/>
      <c r="AA1761" s="10"/>
      <c r="AB1761" s="10"/>
    </row>
    <row r="1762" spans="1:28" s="16" customFormat="1" ht="30">
      <c r="A1762" s="236"/>
      <c r="B1762" s="844"/>
      <c r="C1762" s="69" t="s">
        <v>992</v>
      </c>
      <c r="D1762" s="679">
        <v>40890</v>
      </c>
      <c r="E1762" s="1137" t="s">
        <v>5002</v>
      </c>
      <c r="F1762" s="1129" t="s">
        <v>5001</v>
      </c>
      <c r="G1762" s="354"/>
      <c r="H1762" s="456"/>
      <c r="I1762" s="456"/>
      <c r="J1762" s="455"/>
      <c r="K1762" s="455"/>
      <c r="L1762" s="457">
        <v>5000</v>
      </c>
      <c r="M1762" s="768">
        <f t="shared" si="161"/>
        <v>5000</v>
      </c>
      <c r="N1762" s="1137" t="s">
        <v>517</v>
      </c>
      <c r="O1762" s="1137"/>
      <c r="P1762" s="1136"/>
      <c r="Q1762" s="223"/>
      <c r="R1762" s="223"/>
      <c r="S1762" s="928"/>
      <c r="T1762" s="928"/>
      <c r="U1762" s="928"/>
      <c r="V1762" s="14" t="s">
        <v>61</v>
      </c>
      <c r="W1762" s="10"/>
      <c r="X1762" s="16">
        <f t="shared" si="162"/>
        <v>5000</v>
      </c>
      <c r="Y1762" s="16">
        <f t="shared" si="159"/>
        <v>0</v>
      </c>
      <c r="Z1762" s="10"/>
      <c r="AA1762" s="10"/>
      <c r="AB1762" s="10"/>
    </row>
    <row r="1763" spans="1:28" s="16" customFormat="1" ht="30">
      <c r="A1763" s="236"/>
      <c r="B1763" s="844"/>
      <c r="C1763" s="69" t="s">
        <v>993</v>
      </c>
      <c r="D1763" s="679">
        <v>40890</v>
      </c>
      <c r="E1763" s="1137" t="s">
        <v>5002</v>
      </c>
      <c r="F1763" s="1129" t="s">
        <v>5001</v>
      </c>
      <c r="G1763" s="354"/>
      <c r="H1763" s="456"/>
      <c r="I1763" s="456"/>
      <c r="J1763" s="455"/>
      <c r="K1763" s="455"/>
      <c r="L1763" s="457">
        <v>5000</v>
      </c>
      <c r="M1763" s="768">
        <f t="shared" si="161"/>
        <v>5000</v>
      </c>
      <c r="N1763" s="1137" t="s">
        <v>517</v>
      </c>
      <c r="O1763" s="1137"/>
      <c r="P1763" s="1136"/>
      <c r="Q1763" s="223"/>
      <c r="R1763" s="223"/>
      <c r="S1763" s="928"/>
      <c r="T1763" s="928"/>
      <c r="U1763" s="928"/>
      <c r="V1763" s="14" t="s">
        <v>61</v>
      </c>
      <c r="W1763" s="10"/>
      <c r="X1763" s="16">
        <f t="shared" si="162"/>
        <v>5000</v>
      </c>
      <c r="Y1763" s="16">
        <f t="shared" si="159"/>
        <v>0</v>
      </c>
      <c r="Z1763" s="10"/>
      <c r="AA1763" s="10"/>
      <c r="AB1763" s="10"/>
    </row>
    <row r="1764" spans="1:28" s="16" customFormat="1" ht="30">
      <c r="A1764" s="236"/>
      <c r="B1764" s="844"/>
      <c r="C1764" s="69" t="s">
        <v>994</v>
      </c>
      <c r="D1764" s="679">
        <v>40890</v>
      </c>
      <c r="E1764" s="1137" t="s">
        <v>5002</v>
      </c>
      <c r="F1764" s="1129" t="s">
        <v>5001</v>
      </c>
      <c r="G1764" s="354"/>
      <c r="H1764" s="456"/>
      <c r="I1764" s="456"/>
      <c r="J1764" s="455"/>
      <c r="K1764" s="455"/>
      <c r="L1764" s="457">
        <v>50000</v>
      </c>
      <c r="M1764" s="768">
        <f t="shared" si="161"/>
        <v>50000</v>
      </c>
      <c r="N1764" s="1137" t="s">
        <v>517</v>
      </c>
      <c r="O1764" s="1137"/>
      <c r="P1764" s="1136"/>
      <c r="Q1764" s="223"/>
      <c r="R1764" s="223"/>
      <c r="S1764" s="928"/>
      <c r="T1764" s="928"/>
      <c r="U1764" s="928"/>
      <c r="V1764" s="14" t="s">
        <v>61</v>
      </c>
      <c r="W1764" s="10"/>
      <c r="X1764" s="16">
        <f t="shared" si="162"/>
        <v>50000</v>
      </c>
      <c r="Y1764" s="16">
        <f t="shared" si="159"/>
        <v>0</v>
      </c>
      <c r="Z1764" s="10"/>
      <c r="AA1764" s="10"/>
      <c r="AB1764" s="10"/>
    </row>
    <row r="1765" spans="1:28" s="16" customFormat="1" ht="30">
      <c r="A1765" s="236"/>
      <c r="B1765" s="844"/>
      <c r="C1765" s="69" t="s">
        <v>995</v>
      </c>
      <c r="D1765" s="679">
        <v>40890</v>
      </c>
      <c r="E1765" s="1137" t="s">
        <v>5002</v>
      </c>
      <c r="F1765" s="1129" t="s">
        <v>5001</v>
      </c>
      <c r="G1765" s="354"/>
      <c r="H1765" s="456"/>
      <c r="I1765" s="456"/>
      <c r="J1765" s="455"/>
      <c r="K1765" s="455"/>
      <c r="L1765" s="457">
        <v>5000</v>
      </c>
      <c r="M1765" s="768">
        <f t="shared" si="161"/>
        <v>5000</v>
      </c>
      <c r="N1765" s="1137" t="s">
        <v>517</v>
      </c>
      <c r="O1765" s="1137"/>
      <c r="P1765" s="1136"/>
      <c r="Q1765" s="223"/>
      <c r="R1765" s="223"/>
      <c r="S1765" s="928"/>
      <c r="T1765" s="928"/>
      <c r="U1765" s="928"/>
      <c r="V1765" s="14" t="s">
        <v>61</v>
      </c>
      <c r="W1765" s="10"/>
      <c r="X1765" s="16">
        <f t="shared" si="162"/>
        <v>5000</v>
      </c>
      <c r="Y1765" s="16">
        <f t="shared" si="159"/>
        <v>0</v>
      </c>
      <c r="Z1765" s="10"/>
      <c r="AA1765" s="10"/>
      <c r="AB1765" s="10"/>
    </row>
    <row r="1766" spans="1:28" s="16" customFormat="1" ht="30">
      <c r="A1766" s="236"/>
      <c r="B1766" s="844"/>
      <c r="C1766" s="69" t="s">
        <v>996</v>
      </c>
      <c r="D1766" s="679">
        <v>40890</v>
      </c>
      <c r="E1766" s="1137" t="s">
        <v>5002</v>
      </c>
      <c r="F1766" s="1129" t="s">
        <v>5001</v>
      </c>
      <c r="G1766" s="354"/>
      <c r="H1766" s="456"/>
      <c r="I1766" s="456"/>
      <c r="J1766" s="455"/>
      <c r="K1766" s="455"/>
      <c r="L1766" s="457">
        <v>23000</v>
      </c>
      <c r="M1766" s="768">
        <f t="shared" si="161"/>
        <v>23000</v>
      </c>
      <c r="N1766" s="1137" t="s">
        <v>517</v>
      </c>
      <c r="O1766" s="1137"/>
      <c r="P1766" s="1136"/>
      <c r="Q1766" s="223"/>
      <c r="R1766" s="223"/>
      <c r="S1766" s="928"/>
      <c r="T1766" s="928"/>
      <c r="U1766" s="928"/>
      <c r="V1766" s="14" t="s">
        <v>61</v>
      </c>
      <c r="W1766" s="10"/>
      <c r="X1766" s="16">
        <f t="shared" si="162"/>
        <v>23000</v>
      </c>
      <c r="Y1766" s="16">
        <f t="shared" si="159"/>
        <v>0</v>
      </c>
      <c r="Z1766" s="10"/>
      <c r="AA1766" s="10"/>
      <c r="AB1766" s="10"/>
    </row>
    <row r="1767" spans="1:28" s="16" customFormat="1" ht="30">
      <c r="A1767" s="236"/>
      <c r="B1767" s="844"/>
      <c r="C1767" s="69" t="s">
        <v>997</v>
      </c>
      <c r="D1767" s="679">
        <v>40890</v>
      </c>
      <c r="E1767" s="1137" t="s">
        <v>5002</v>
      </c>
      <c r="F1767" s="1129" t="s">
        <v>5001</v>
      </c>
      <c r="G1767" s="354"/>
      <c r="H1767" s="456"/>
      <c r="I1767" s="456"/>
      <c r="J1767" s="455"/>
      <c r="K1767" s="455"/>
      <c r="L1767" s="457">
        <v>5000</v>
      </c>
      <c r="M1767" s="768">
        <f t="shared" si="161"/>
        <v>5000</v>
      </c>
      <c r="N1767" s="1137" t="s">
        <v>517</v>
      </c>
      <c r="O1767" s="1137"/>
      <c r="P1767" s="1136"/>
      <c r="Q1767" s="223"/>
      <c r="R1767" s="223"/>
      <c r="S1767" s="928"/>
      <c r="T1767" s="928"/>
      <c r="U1767" s="928"/>
      <c r="V1767" s="14" t="s">
        <v>61</v>
      </c>
      <c r="W1767" s="10"/>
      <c r="X1767" s="16">
        <f t="shared" si="162"/>
        <v>5000</v>
      </c>
      <c r="Y1767" s="16">
        <f t="shared" si="159"/>
        <v>0</v>
      </c>
      <c r="Z1767" s="10"/>
      <c r="AA1767" s="10"/>
      <c r="AB1767" s="10"/>
    </row>
    <row r="1768" spans="1:28" s="16" customFormat="1" ht="30">
      <c r="A1768" s="236"/>
      <c r="B1768" s="844"/>
      <c r="C1768" s="69" t="s">
        <v>998</v>
      </c>
      <c r="D1768" s="679">
        <v>40890</v>
      </c>
      <c r="E1768" s="1137" t="s">
        <v>5002</v>
      </c>
      <c r="F1768" s="1129" t="s">
        <v>5001</v>
      </c>
      <c r="G1768" s="354"/>
      <c r="H1768" s="456"/>
      <c r="I1768" s="456"/>
      <c r="J1768" s="455"/>
      <c r="K1768" s="455"/>
      <c r="L1768" s="457">
        <v>4000</v>
      </c>
      <c r="M1768" s="768">
        <f t="shared" si="161"/>
        <v>4000</v>
      </c>
      <c r="N1768" s="1137" t="s">
        <v>517</v>
      </c>
      <c r="O1768" s="1137"/>
      <c r="P1768" s="1136"/>
      <c r="Q1768" s="223"/>
      <c r="R1768" s="223"/>
      <c r="S1768" s="928"/>
      <c r="T1768" s="928"/>
      <c r="U1768" s="928"/>
      <c r="V1768" s="14" t="s">
        <v>61</v>
      </c>
      <c r="W1768" s="10"/>
      <c r="X1768" s="16">
        <f t="shared" si="162"/>
        <v>4000</v>
      </c>
      <c r="Y1768" s="16">
        <f t="shared" si="159"/>
        <v>0</v>
      </c>
      <c r="Z1768" s="10"/>
      <c r="AA1768" s="10"/>
      <c r="AB1768" s="10"/>
    </row>
    <row r="1769" spans="1:28" s="16" customFormat="1" ht="30">
      <c r="A1769" s="236"/>
      <c r="B1769" s="844"/>
      <c r="C1769" s="69" t="s">
        <v>999</v>
      </c>
      <c r="D1769" s="679">
        <v>40890</v>
      </c>
      <c r="E1769" s="1137" t="s">
        <v>5002</v>
      </c>
      <c r="F1769" s="1129" t="s">
        <v>5001</v>
      </c>
      <c r="G1769" s="354"/>
      <c r="H1769" s="456"/>
      <c r="I1769" s="456"/>
      <c r="J1769" s="455"/>
      <c r="K1769" s="455"/>
      <c r="L1769" s="457">
        <v>41500</v>
      </c>
      <c r="M1769" s="768">
        <f t="shared" si="161"/>
        <v>41500</v>
      </c>
      <c r="N1769" s="1137" t="s">
        <v>517</v>
      </c>
      <c r="O1769" s="1137"/>
      <c r="P1769" s="1136"/>
      <c r="Q1769" s="223"/>
      <c r="R1769" s="223"/>
      <c r="S1769" s="928"/>
      <c r="T1769" s="928"/>
      <c r="U1769" s="928"/>
      <c r="V1769" s="14" t="s">
        <v>61</v>
      </c>
      <c r="W1769" s="10"/>
      <c r="X1769" s="16">
        <f t="shared" si="162"/>
        <v>41500</v>
      </c>
      <c r="Y1769" s="16">
        <f t="shared" si="159"/>
        <v>0</v>
      </c>
      <c r="Z1769" s="10"/>
      <c r="AA1769" s="10"/>
      <c r="AB1769" s="10"/>
    </row>
    <row r="1770" spans="1:28" s="16" customFormat="1" ht="30">
      <c r="A1770" s="236"/>
      <c r="B1770" s="844"/>
      <c r="C1770" s="69" t="s">
        <v>1000</v>
      </c>
      <c r="D1770" s="679">
        <v>40890</v>
      </c>
      <c r="E1770" s="1137" t="s">
        <v>5002</v>
      </c>
      <c r="F1770" s="1129" t="s">
        <v>5001</v>
      </c>
      <c r="G1770" s="354"/>
      <c r="H1770" s="456"/>
      <c r="I1770" s="456"/>
      <c r="J1770" s="455"/>
      <c r="K1770" s="455"/>
      <c r="L1770" s="457">
        <v>1500</v>
      </c>
      <c r="M1770" s="768">
        <f t="shared" si="161"/>
        <v>1500</v>
      </c>
      <c r="N1770" s="1137" t="s">
        <v>517</v>
      </c>
      <c r="O1770" s="1137"/>
      <c r="P1770" s="1136"/>
      <c r="Q1770" s="223"/>
      <c r="R1770" s="223"/>
      <c r="S1770" s="928"/>
      <c r="T1770" s="928"/>
      <c r="U1770" s="928"/>
      <c r="V1770" s="14" t="s">
        <v>61</v>
      </c>
      <c r="W1770" s="10"/>
      <c r="X1770" s="16">
        <f t="shared" si="162"/>
        <v>1500</v>
      </c>
      <c r="Y1770" s="16">
        <f t="shared" si="159"/>
        <v>0</v>
      </c>
      <c r="Z1770" s="10"/>
      <c r="AA1770" s="10"/>
      <c r="AB1770" s="10"/>
    </row>
    <row r="1771" spans="1:28" s="16" customFormat="1" ht="30">
      <c r="A1771" s="236"/>
      <c r="B1771" s="844"/>
      <c r="C1771" s="69" t="s">
        <v>1001</v>
      </c>
      <c r="D1771" s="679">
        <v>40890</v>
      </c>
      <c r="E1771" s="1137" t="s">
        <v>5002</v>
      </c>
      <c r="F1771" s="1129" t="s">
        <v>5001</v>
      </c>
      <c r="G1771" s="354"/>
      <c r="H1771" s="456"/>
      <c r="I1771" s="456"/>
      <c r="J1771" s="455"/>
      <c r="K1771" s="455"/>
      <c r="L1771" s="457">
        <v>1500</v>
      </c>
      <c r="M1771" s="768">
        <f t="shared" si="161"/>
        <v>1500</v>
      </c>
      <c r="N1771" s="1137" t="s">
        <v>517</v>
      </c>
      <c r="O1771" s="1137"/>
      <c r="P1771" s="1136"/>
      <c r="Q1771" s="223"/>
      <c r="R1771" s="223"/>
      <c r="S1771" s="928"/>
      <c r="T1771" s="928"/>
      <c r="U1771" s="928"/>
      <c r="V1771" s="14" t="s">
        <v>61</v>
      </c>
      <c r="W1771" s="10"/>
      <c r="X1771" s="16">
        <f t="shared" si="162"/>
        <v>1500</v>
      </c>
      <c r="Y1771" s="16">
        <f t="shared" si="159"/>
        <v>0</v>
      </c>
      <c r="Z1771" s="10"/>
      <c r="AA1771" s="10"/>
      <c r="AB1771" s="10"/>
    </row>
    <row r="1772" spans="1:28" s="16" customFormat="1" ht="30">
      <c r="A1772" s="236"/>
      <c r="B1772" s="844"/>
      <c r="C1772" s="69" t="s">
        <v>1002</v>
      </c>
      <c r="D1772" s="679">
        <v>40890</v>
      </c>
      <c r="E1772" s="1137" t="s">
        <v>5002</v>
      </c>
      <c r="F1772" s="1129" t="s">
        <v>5001</v>
      </c>
      <c r="G1772" s="354"/>
      <c r="H1772" s="456"/>
      <c r="I1772" s="456"/>
      <c r="J1772" s="455"/>
      <c r="K1772" s="455"/>
      <c r="L1772" s="457">
        <v>5000</v>
      </c>
      <c r="M1772" s="768">
        <f t="shared" si="161"/>
        <v>5000</v>
      </c>
      <c r="N1772" s="1137" t="s">
        <v>517</v>
      </c>
      <c r="O1772" s="1137"/>
      <c r="P1772" s="1136"/>
      <c r="Q1772" s="223"/>
      <c r="R1772" s="223"/>
      <c r="S1772" s="928"/>
      <c r="T1772" s="928"/>
      <c r="U1772" s="928"/>
      <c r="V1772" s="14" t="s">
        <v>61</v>
      </c>
      <c r="W1772" s="10"/>
      <c r="X1772" s="16">
        <f t="shared" si="162"/>
        <v>5000</v>
      </c>
      <c r="Y1772" s="16">
        <f t="shared" si="159"/>
        <v>0</v>
      </c>
      <c r="Z1772" s="10"/>
      <c r="AA1772" s="10"/>
      <c r="AB1772" s="10"/>
    </row>
    <row r="1773" spans="1:28" s="16" customFormat="1" ht="30">
      <c r="A1773" s="236"/>
      <c r="B1773" s="844"/>
      <c r="C1773" s="69" t="s">
        <v>1003</v>
      </c>
      <c r="D1773" s="679">
        <v>40890</v>
      </c>
      <c r="E1773" s="1137" t="s">
        <v>5002</v>
      </c>
      <c r="F1773" s="1129" t="s">
        <v>5001</v>
      </c>
      <c r="G1773" s="354"/>
      <c r="H1773" s="456"/>
      <c r="I1773" s="456"/>
      <c r="J1773" s="455"/>
      <c r="K1773" s="455"/>
      <c r="L1773" s="457">
        <v>4000</v>
      </c>
      <c r="M1773" s="768">
        <f t="shared" si="161"/>
        <v>4000</v>
      </c>
      <c r="N1773" s="1137" t="s">
        <v>517</v>
      </c>
      <c r="O1773" s="1137"/>
      <c r="P1773" s="1136"/>
      <c r="Q1773" s="223"/>
      <c r="R1773" s="223"/>
      <c r="S1773" s="928"/>
      <c r="T1773" s="928"/>
      <c r="U1773" s="928"/>
      <c r="V1773" s="14" t="s">
        <v>61</v>
      </c>
      <c r="W1773" s="10"/>
      <c r="X1773" s="16">
        <f t="shared" si="162"/>
        <v>4000</v>
      </c>
      <c r="Y1773" s="16">
        <f t="shared" si="159"/>
        <v>0</v>
      </c>
      <c r="Z1773" s="10"/>
      <c r="AA1773" s="10"/>
      <c r="AB1773" s="10"/>
    </row>
    <row r="1774" spans="1:28" s="16" customFormat="1" ht="30">
      <c r="A1774" s="236"/>
      <c r="B1774" s="844"/>
      <c r="C1774" s="69" t="s">
        <v>1004</v>
      </c>
      <c r="D1774" s="679">
        <v>40890</v>
      </c>
      <c r="E1774" s="1137" t="s">
        <v>5002</v>
      </c>
      <c r="F1774" s="1129" t="s">
        <v>5001</v>
      </c>
      <c r="G1774" s="354"/>
      <c r="H1774" s="456"/>
      <c r="I1774" s="456"/>
      <c r="J1774" s="455"/>
      <c r="K1774" s="455"/>
      <c r="L1774" s="457">
        <v>6000</v>
      </c>
      <c r="M1774" s="768">
        <f t="shared" si="161"/>
        <v>6000</v>
      </c>
      <c r="N1774" s="1137" t="s">
        <v>517</v>
      </c>
      <c r="O1774" s="1137"/>
      <c r="P1774" s="1136"/>
      <c r="Q1774" s="223"/>
      <c r="R1774" s="223"/>
      <c r="S1774" s="928"/>
      <c r="T1774" s="928"/>
      <c r="U1774" s="928"/>
      <c r="V1774" s="14" t="s">
        <v>61</v>
      </c>
      <c r="W1774" s="10"/>
      <c r="X1774" s="16">
        <f t="shared" si="162"/>
        <v>6000</v>
      </c>
      <c r="Y1774" s="16">
        <f t="shared" si="159"/>
        <v>0</v>
      </c>
      <c r="Z1774" s="10"/>
      <c r="AA1774" s="10"/>
      <c r="AB1774" s="10"/>
    </row>
    <row r="1775" spans="1:28" s="16" customFormat="1" ht="30">
      <c r="A1775" s="236"/>
      <c r="B1775" s="844"/>
      <c r="C1775" s="69" t="s">
        <v>1005</v>
      </c>
      <c r="D1775" s="679">
        <v>40890</v>
      </c>
      <c r="E1775" s="1137" t="s">
        <v>5002</v>
      </c>
      <c r="F1775" s="1129" t="s">
        <v>5001</v>
      </c>
      <c r="G1775" s="354"/>
      <c r="H1775" s="456"/>
      <c r="I1775" s="456"/>
      <c r="J1775" s="455"/>
      <c r="K1775" s="455"/>
      <c r="L1775" s="457">
        <v>10000</v>
      </c>
      <c r="M1775" s="768">
        <f t="shared" si="161"/>
        <v>10000</v>
      </c>
      <c r="N1775" s="1137" t="s">
        <v>517</v>
      </c>
      <c r="O1775" s="1137"/>
      <c r="P1775" s="1136"/>
      <c r="Q1775" s="223"/>
      <c r="R1775" s="223"/>
      <c r="S1775" s="928"/>
      <c r="T1775" s="928"/>
      <c r="U1775" s="928"/>
      <c r="V1775" s="14" t="s">
        <v>61</v>
      </c>
      <c r="W1775" s="10"/>
      <c r="X1775" s="16">
        <f t="shared" si="162"/>
        <v>10000</v>
      </c>
      <c r="Y1775" s="16">
        <f t="shared" si="159"/>
        <v>0</v>
      </c>
      <c r="Z1775" s="10"/>
      <c r="AA1775" s="10"/>
      <c r="AB1775" s="10"/>
    </row>
    <row r="1776" spans="1:28" s="16" customFormat="1" ht="30">
      <c r="A1776" s="236"/>
      <c r="B1776" s="844"/>
      <c r="C1776" s="69" t="s">
        <v>1006</v>
      </c>
      <c r="D1776" s="679">
        <v>40890</v>
      </c>
      <c r="E1776" s="1137" t="s">
        <v>5002</v>
      </c>
      <c r="F1776" s="1129" t="s">
        <v>5001</v>
      </c>
      <c r="G1776" s="354"/>
      <c r="H1776" s="456"/>
      <c r="I1776" s="456"/>
      <c r="J1776" s="455"/>
      <c r="K1776" s="455"/>
      <c r="L1776" s="457">
        <v>10000</v>
      </c>
      <c r="M1776" s="768">
        <f t="shared" si="161"/>
        <v>10000</v>
      </c>
      <c r="N1776" s="1137" t="s">
        <v>517</v>
      </c>
      <c r="O1776" s="1137"/>
      <c r="P1776" s="1136"/>
      <c r="Q1776" s="223"/>
      <c r="R1776" s="223"/>
      <c r="S1776" s="928"/>
      <c r="T1776" s="928"/>
      <c r="U1776" s="928"/>
      <c r="V1776" s="14" t="s">
        <v>61</v>
      </c>
      <c r="W1776" s="10"/>
      <c r="X1776" s="16">
        <f t="shared" si="162"/>
        <v>10000</v>
      </c>
      <c r="Y1776" s="16">
        <f t="shared" ref="Y1776:Y1839" si="163">X1776-M1776</f>
        <v>0</v>
      </c>
      <c r="Z1776" s="10"/>
      <c r="AA1776" s="10"/>
      <c r="AB1776" s="10"/>
    </row>
    <row r="1777" spans="1:28" s="16" customFormat="1" ht="30">
      <c r="A1777" s="236"/>
      <c r="B1777" s="844"/>
      <c r="C1777" s="69" t="s">
        <v>1007</v>
      </c>
      <c r="D1777" s="679">
        <v>40890</v>
      </c>
      <c r="E1777" s="1137" t="s">
        <v>5002</v>
      </c>
      <c r="F1777" s="1129" t="s">
        <v>5001</v>
      </c>
      <c r="G1777" s="354"/>
      <c r="H1777" s="456"/>
      <c r="I1777" s="456"/>
      <c r="J1777" s="455"/>
      <c r="K1777" s="455"/>
      <c r="L1777" s="457">
        <v>10000</v>
      </c>
      <c r="M1777" s="768">
        <f t="shared" si="161"/>
        <v>10000</v>
      </c>
      <c r="N1777" s="1137" t="s">
        <v>517</v>
      </c>
      <c r="O1777" s="1137"/>
      <c r="P1777" s="1136"/>
      <c r="Q1777" s="223"/>
      <c r="R1777" s="223"/>
      <c r="S1777" s="928"/>
      <c r="T1777" s="928"/>
      <c r="U1777" s="928"/>
      <c r="V1777" s="14" t="s">
        <v>61</v>
      </c>
      <c r="W1777" s="10"/>
      <c r="X1777" s="16">
        <f t="shared" si="162"/>
        <v>10000</v>
      </c>
      <c r="Y1777" s="16">
        <f t="shared" si="163"/>
        <v>0</v>
      </c>
      <c r="Z1777" s="10"/>
      <c r="AA1777" s="10"/>
      <c r="AB1777" s="10"/>
    </row>
    <row r="1778" spans="1:28" s="16" customFormat="1" ht="30">
      <c r="A1778" s="236"/>
      <c r="B1778" s="844"/>
      <c r="C1778" s="69" t="s">
        <v>1008</v>
      </c>
      <c r="D1778" s="679">
        <v>40890</v>
      </c>
      <c r="E1778" s="1137" t="s">
        <v>5002</v>
      </c>
      <c r="F1778" s="1129" t="s">
        <v>5001</v>
      </c>
      <c r="G1778" s="354"/>
      <c r="H1778" s="456"/>
      <c r="I1778" s="456"/>
      <c r="J1778" s="455"/>
      <c r="K1778" s="455"/>
      <c r="L1778" s="457">
        <v>30000</v>
      </c>
      <c r="M1778" s="768">
        <f t="shared" si="161"/>
        <v>30000</v>
      </c>
      <c r="N1778" s="1137" t="s">
        <v>517</v>
      </c>
      <c r="O1778" s="1137"/>
      <c r="P1778" s="1136"/>
      <c r="Q1778" s="223"/>
      <c r="R1778" s="223"/>
      <c r="S1778" s="928"/>
      <c r="T1778" s="928"/>
      <c r="U1778" s="928"/>
      <c r="V1778" s="14" t="s">
        <v>61</v>
      </c>
      <c r="W1778" s="10"/>
      <c r="X1778" s="16">
        <f t="shared" si="162"/>
        <v>30000</v>
      </c>
      <c r="Y1778" s="16">
        <f t="shared" si="163"/>
        <v>0</v>
      </c>
      <c r="Z1778" s="10"/>
      <c r="AA1778" s="10"/>
      <c r="AB1778" s="10"/>
    </row>
    <row r="1779" spans="1:28" s="16" customFormat="1" ht="30">
      <c r="A1779" s="236"/>
      <c r="B1779" s="844"/>
      <c r="C1779" s="69" t="s">
        <v>1009</v>
      </c>
      <c r="D1779" s="679">
        <v>40890</v>
      </c>
      <c r="E1779" s="1137" t="s">
        <v>5002</v>
      </c>
      <c r="F1779" s="1129" t="s">
        <v>5001</v>
      </c>
      <c r="G1779" s="354"/>
      <c r="H1779" s="456"/>
      <c r="I1779" s="456"/>
      <c r="J1779" s="455"/>
      <c r="K1779" s="455"/>
      <c r="L1779" s="457">
        <v>20000</v>
      </c>
      <c r="M1779" s="768">
        <f t="shared" ref="M1779:M1840" si="164">SUM(J1779:L1779)</f>
        <v>20000</v>
      </c>
      <c r="N1779" s="1137" t="s">
        <v>517</v>
      </c>
      <c r="O1779" s="1137"/>
      <c r="P1779" s="1136"/>
      <c r="Q1779" s="223"/>
      <c r="R1779" s="223"/>
      <c r="S1779" s="928"/>
      <c r="T1779" s="928"/>
      <c r="U1779" s="928"/>
      <c r="V1779" s="14" t="s">
        <v>61</v>
      </c>
      <c r="W1779" s="10"/>
      <c r="X1779" s="16">
        <f t="shared" si="162"/>
        <v>20000</v>
      </c>
      <c r="Y1779" s="16">
        <f t="shared" si="163"/>
        <v>0</v>
      </c>
      <c r="Z1779" s="10"/>
      <c r="AA1779" s="10"/>
      <c r="AB1779" s="10"/>
    </row>
    <row r="1780" spans="1:28" s="16" customFormat="1" ht="30">
      <c r="A1780" s="236"/>
      <c r="B1780" s="844"/>
      <c r="C1780" s="69" t="s">
        <v>1010</v>
      </c>
      <c r="D1780" s="679">
        <v>40890</v>
      </c>
      <c r="E1780" s="1137" t="s">
        <v>5002</v>
      </c>
      <c r="F1780" s="1129" t="s">
        <v>5001</v>
      </c>
      <c r="G1780" s="354"/>
      <c r="H1780" s="456"/>
      <c r="I1780" s="456"/>
      <c r="J1780" s="455"/>
      <c r="K1780" s="455"/>
      <c r="L1780" s="457">
        <v>20000</v>
      </c>
      <c r="M1780" s="768">
        <f t="shared" si="164"/>
        <v>20000</v>
      </c>
      <c r="N1780" s="1137" t="s">
        <v>517</v>
      </c>
      <c r="O1780" s="1137"/>
      <c r="P1780" s="1136"/>
      <c r="Q1780" s="223"/>
      <c r="R1780" s="223"/>
      <c r="S1780" s="928"/>
      <c r="T1780" s="928"/>
      <c r="U1780" s="928"/>
      <c r="V1780" s="14" t="s">
        <v>61</v>
      </c>
      <c r="W1780" s="10"/>
      <c r="X1780" s="16">
        <f t="shared" si="162"/>
        <v>20000</v>
      </c>
      <c r="Y1780" s="16">
        <f t="shared" si="163"/>
        <v>0</v>
      </c>
      <c r="Z1780" s="10"/>
      <c r="AA1780" s="10"/>
      <c r="AB1780" s="10"/>
    </row>
    <row r="1781" spans="1:28" s="16" customFormat="1" ht="30">
      <c r="A1781" s="236"/>
      <c r="B1781" s="844"/>
      <c r="C1781" s="69" t="s">
        <v>1011</v>
      </c>
      <c r="D1781" s="679">
        <v>40890</v>
      </c>
      <c r="E1781" s="1137" t="s">
        <v>5002</v>
      </c>
      <c r="F1781" s="1129" t="s">
        <v>5001</v>
      </c>
      <c r="G1781" s="354"/>
      <c r="H1781" s="456"/>
      <c r="I1781" s="456"/>
      <c r="J1781" s="455"/>
      <c r="K1781" s="455"/>
      <c r="L1781" s="457">
        <v>20000</v>
      </c>
      <c r="M1781" s="768">
        <f t="shared" si="164"/>
        <v>20000</v>
      </c>
      <c r="N1781" s="1137" t="s">
        <v>517</v>
      </c>
      <c r="O1781" s="1137"/>
      <c r="P1781" s="1136"/>
      <c r="Q1781" s="223"/>
      <c r="R1781" s="223"/>
      <c r="S1781" s="928"/>
      <c r="T1781" s="928"/>
      <c r="U1781" s="928"/>
      <c r="V1781" s="14" t="s">
        <v>61</v>
      </c>
      <c r="W1781" s="10"/>
      <c r="X1781" s="16">
        <f t="shared" si="162"/>
        <v>20000</v>
      </c>
      <c r="Y1781" s="16">
        <f t="shared" si="163"/>
        <v>0</v>
      </c>
      <c r="Z1781" s="10"/>
      <c r="AA1781" s="10"/>
      <c r="AB1781" s="10"/>
    </row>
    <row r="1782" spans="1:28" s="16" customFormat="1" ht="30">
      <c r="A1782" s="236"/>
      <c r="B1782" s="844"/>
      <c r="C1782" s="69" t="s">
        <v>1012</v>
      </c>
      <c r="D1782" s="679">
        <v>40890</v>
      </c>
      <c r="E1782" s="1137" t="s">
        <v>5002</v>
      </c>
      <c r="F1782" s="1129" t="s">
        <v>5001</v>
      </c>
      <c r="G1782" s="354"/>
      <c r="H1782" s="456"/>
      <c r="I1782" s="456"/>
      <c r="J1782" s="455"/>
      <c r="K1782" s="455"/>
      <c r="L1782" s="457">
        <v>300</v>
      </c>
      <c r="M1782" s="768">
        <f t="shared" si="164"/>
        <v>300</v>
      </c>
      <c r="N1782" s="1137" t="s">
        <v>517</v>
      </c>
      <c r="O1782" s="1137"/>
      <c r="P1782" s="1136"/>
      <c r="Q1782" s="223"/>
      <c r="R1782" s="223"/>
      <c r="S1782" s="928"/>
      <c r="T1782" s="928"/>
      <c r="U1782" s="928"/>
      <c r="V1782" s="14" t="s">
        <v>61</v>
      </c>
      <c r="W1782" s="10"/>
      <c r="X1782" s="16">
        <f t="shared" si="162"/>
        <v>300</v>
      </c>
      <c r="Y1782" s="16">
        <f t="shared" si="163"/>
        <v>0</v>
      </c>
      <c r="Z1782" s="10"/>
      <c r="AA1782" s="10"/>
      <c r="AB1782" s="10"/>
    </row>
    <row r="1783" spans="1:28" s="16" customFormat="1" ht="30">
      <c r="A1783" s="236"/>
      <c r="B1783" s="844"/>
      <c r="C1783" s="69" t="s">
        <v>1013</v>
      </c>
      <c r="D1783" s="679">
        <v>40890</v>
      </c>
      <c r="E1783" s="1137" t="s">
        <v>5002</v>
      </c>
      <c r="F1783" s="1129" t="s">
        <v>5001</v>
      </c>
      <c r="G1783" s="354"/>
      <c r="H1783" s="456"/>
      <c r="I1783" s="456"/>
      <c r="J1783" s="455"/>
      <c r="K1783" s="455"/>
      <c r="L1783" s="457">
        <v>1000</v>
      </c>
      <c r="M1783" s="768">
        <f t="shared" si="164"/>
        <v>1000</v>
      </c>
      <c r="N1783" s="1137" t="s">
        <v>517</v>
      </c>
      <c r="O1783" s="1137"/>
      <c r="P1783" s="1136"/>
      <c r="Q1783" s="223"/>
      <c r="R1783" s="223"/>
      <c r="S1783" s="928"/>
      <c r="T1783" s="928"/>
      <c r="U1783" s="928"/>
      <c r="V1783" s="14" t="s">
        <v>61</v>
      </c>
      <c r="W1783" s="10"/>
      <c r="X1783" s="16">
        <f t="shared" si="162"/>
        <v>1000</v>
      </c>
      <c r="Y1783" s="16">
        <f t="shared" si="163"/>
        <v>0</v>
      </c>
      <c r="Z1783" s="10"/>
      <c r="AA1783" s="10"/>
      <c r="AB1783" s="10"/>
    </row>
    <row r="1784" spans="1:28" s="16" customFormat="1" ht="30">
      <c r="A1784" s="236"/>
      <c r="B1784" s="844"/>
      <c r="C1784" s="69" t="s">
        <v>1014</v>
      </c>
      <c r="D1784" s="679">
        <v>40890</v>
      </c>
      <c r="E1784" s="1137" t="s">
        <v>5002</v>
      </c>
      <c r="F1784" s="1129" t="s">
        <v>5001</v>
      </c>
      <c r="G1784" s="354"/>
      <c r="H1784" s="456"/>
      <c r="I1784" s="456"/>
      <c r="J1784" s="455"/>
      <c r="K1784" s="455"/>
      <c r="L1784" s="457">
        <v>500</v>
      </c>
      <c r="M1784" s="768">
        <f t="shared" si="164"/>
        <v>500</v>
      </c>
      <c r="N1784" s="1137" t="s">
        <v>517</v>
      </c>
      <c r="O1784" s="1137"/>
      <c r="P1784" s="1136"/>
      <c r="Q1784" s="223"/>
      <c r="R1784" s="223"/>
      <c r="S1784" s="928"/>
      <c r="T1784" s="928"/>
      <c r="U1784" s="928"/>
      <c r="V1784" s="14" t="s">
        <v>61</v>
      </c>
      <c r="W1784" s="10"/>
      <c r="X1784" s="16">
        <f t="shared" si="162"/>
        <v>500</v>
      </c>
      <c r="Y1784" s="16">
        <f t="shared" si="163"/>
        <v>0</v>
      </c>
      <c r="Z1784" s="10"/>
      <c r="AA1784" s="10"/>
      <c r="AB1784" s="10"/>
    </row>
    <row r="1785" spans="1:28" s="16" customFormat="1" ht="30">
      <c r="A1785" s="236"/>
      <c r="B1785" s="844"/>
      <c r="C1785" s="69" t="s">
        <v>1015</v>
      </c>
      <c r="D1785" s="679">
        <v>40890</v>
      </c>
      <c r="E1785" s="1137" t="s">
        <v>5002</v>
      </c>
      <c r="F1785" s="1129" t="s">
        <v>5001</v>
      </c>
      <c r="G1785" s="354"/>
      <c r="H1785" s="456"/>
      <c r="I1785" s="456"/>
      <c r="J1785" s="455"/>
      <c r="K1785" s="455"/>
      <c r="L1785" s="457">
        <v>2183</v>
      </c>
      <c r="M1785" s="768">
        <f t="shared" si="164"/>
        <v>2183</v>
      </c>
      <c r="N1785" s="1137" t="s">
        <v>517</v>
      </c>
      <c r="O1785" s="1137"/>
      <c r="P1785" s="1136"/>
      <c r="Q1785" s="223"/>
      <c r="R1785" s="223"/>
      <c r="S1785" s="928"/>
      <c r="T1785" s="928"/>
      <c r="U1785" s="928"/>
      <c r="V1785" s="14" t="s">
        <v>61</v>
      </c>
      <c r="W1785" s="10"/>
      <c r="X1785" s="16">
        <f t="shared" si="162"/>
        <v>2183</v>
      </c>
      <c r="Y1785" s="16">
        <f t="shared" si="163"/>
        <v>0</v>
      </c>
      <c r="Z1785" s="10"/>
      <c r="AA1785" s="10"/>
      <c r="AB1785" s="10"/>
    </row>
    <row r="1786" spans="1:28" s="16" customFormat="1" ht="30">
      <c r="A1786" s="236"/>
      <c r="B1786" s="844"/>
      <c r="C1786" s="69" t="s">
        <v>1016</v>
      </c>
      <c r="D1786" s="679">
        <v>40890</v>
      </c>
      <c r="E1786" s="1137" t="s">
        <v>5002</v>
      </c>
      <c r="F1786" s="1129" t="s">
        <v>5001</v>
      </c>
      <c r="G1786" s="354"/>
      <c r="H1786" s="456"/>
      <c r="I1786" s="456"/>
      <c r="J1786" s="455"/>
      <c r="K1786" s="455"/>
      <c r="L1786" s="457">
        <v>6825</v>
      </c>
      <c r="M1786" s="768">
        <f t="shared" si="164"/>
        <v>6825</v>
      </c>
      <c r="N1786" s="1137" t="s">
        <v>517</v>
      </c>
      <c r="O1786" s="1137"/>
      <c r="P1786" s="1136"/>
      <c r="Q1786" s="223"/>
      <c r="R1786" s="223"/>
      <c r="S1786" s="928"/>
      <c r="T1786" s="928"/>
      <c r="U1786" s="928"/>
      <c r="V1786" s="14" t="s">
        <v>61</v>
      </c>
      <c r="W1786" s="10"/>
      <c r="X1786" s="16">
        <f t="shared" si="162"/>
        <v>6825</v>
      </c>
      <c r="Y1786" s="16">
        <f t="shared" si="163"/>
        <v>0</v>
      </c>
      <c r="Z1786" s="10"/>
      <c r="AA1786" s="10"/>
      <c r="AB1786" s="10"/>
    </row>
    <row r="1787" spans="1:28" s="16" customFormat="1" ht="30">
      <c r="A1787" s="236"/>
      <c r="B1787" s="844"/>
      <c r="C1787" s="69" t="s">
        <v>1017</v>
      </c>
      <c r="D1787" s="679">
        <v>40890</v>
      </c>
      <c r="E1787" s="1137" t="s">
        <v>5002</v>
      </c>
      <c r="F1787" s="1129" t="s">
        <v>5001</v>
      </c>
      <c r="G1787" s="354"/>
      <c r="H1787" s="456"/>
      <c r="I1787" s="456"/>
      <c r="J1787" s="455"/>
      <c r="K1787" s="455"/>
      <c r="L1787" s="457">
        <v>250</v>
      </c>
      <c r="M1787" s="768">
        <f t="shared" si="164"/>
        <v>250</v>
      </c>
      <c r="N1787" s="1137" t="s">
        <v>517</v>
      </c>
      <c r="O1787" s="1137"/>
      <c r="P1787" s="1136"/>
      <c r="Q1787" s="223"/>
      <c r="R1787" s="223"/>
      <c r="S1787" s="928"/>
      <c r="T1787" s="928"/>
      <c r="U1787" s="928"/>
      <c r="V1787" s="14" t="s">
        <v>61</v>
      </c>
      <c r="W1787" s="10"/>
      <c r="X1787" s="16">
        <f t="shared" si="162"/>
        <v>250</v>
      </c>
      <c r="Y1787" s="16">
        <f t="shared" si="163"/>
        <v>0</v>
      </c>
      <c r="Z1787" s="10"/>
      <c r="AA1787" s="10"/>
      <c r="AB1787" s="10"/>
    </row>
    <row r="1788" spans="1:28" s="16" customFormat="1" ht="30">
      <c r="A1788" s="236"/>
      <c r="B1788" s="844"/>
      <c r="C1788" s="69" t="s">
        <v>1018</v>
      </c>
      <c r="D1788" s="679">
        <v>40890</v>
      </c>
      <c r="E1788" s="1137" t="s">
        <v>5002</v>
      </c>
      <c r="F1788" s="1129" t="s">
        <v>5001</v>
      </c>
      <c r="G1788" s="354"/>
      <c r="H1788" s="456"/>
      <c r="I1788" s="456"/>
      <c r="J1788" s="455"/>
      <c r="K1788" s="455"/>
      <c r="L1788" s="457">
        <v>1700</v>
      </c>
      <c r="M1788" s="768">
        <f t="shared" si="164"/>
        <v>1700</v>
      </c>
      <c r="N1788" s="1137" t="s">
        <v>517</v>
      </c>
      <c r="O1788" s="1137"/>
      <c r="P1788" s="1136"/>
      <c r="Q1788" s="223"/>
      <c r="R1788" s="223"/>
      <c r="S1788" s="928"/>
      <c r="T1788" s="928"/>
      <c r="U1788" s="928"/>
      <c r="V1788" s="14" t="s">
        <v>61</v>
      </c>
      <c r="W1788" s="10"/>
      <c r="X1788" s="16">
        <f t="shared" si="162"/>
        <v>1700</v>
      </c>
      <c r="Y1788" s="16">
        <f t="shared" si="163"/>
        <v>0</v>
      </c>
      <c r="Z1788" s="10"/>
      <c r="AA1788" s="10"/>
      <c r="AB1788" s="10"/>
    </row>
    <row r="1789" spans="1:28" s="16" customFormat="1" ht="30">
      <c r="A1789" s="236"/>
      <c r="B1789" s="844"/>
      <c r="C1789" s="69" t="s">
        <v>1019</v>
      </c>
      <c r="D1789" s="679">
        <v>40890</v>
      </c>
      <c r="E1789" s="1137" t="s">
        <v>5002</v>
      </c>
      <c r="F1789" s="1129" t="s">
        <v>5001</v>
      </c>
      <c r="G1789" s="354"/>
      <c r="H1789" s="456"/>
      <c r="I1789" s="456"/>
      <c r="J1789" s="455"/>
      <c r="K1789" s="455"/>
      <c r="L1789" s="457">
        <v>2000</v>
      </c>
      <c r="M1789" s="768">
        <f t="shared" si="164"/>
        <v>2000</v>
      </c>
      <c r="N1789" s="1137" t="s">
        <v>517</v>
      </c>
      <c r="O1789" s="1137"/>
      <c r="P1789" s="1136"/>
      <c r="Q1789" s="223"/>
      <c r="R1789" s="223"/>
      <c r="S1789" s="928"/>
      <c r="T1789" s="928"/>
      <c r="U1789" s="928"/>
      <c r="V1789" s="14" t="s">
        <v>61</v>
      </c>
      <c r="W1789" s="10"/>
      <c r="X1789" s="16">
        <f t="shared" si="162"/>
        <v>2000</v>
      </c>
      <c r="Y1789" s="16">
        <f t="shared" si="163"/>
        <v>0</v>
      </c>
      <c r="Z1789" s="10"/>
      <c r="AA1789" s="10"/>
      <c r="AB1789" s="10"/>
    </row>
    <row r="1790" spans="1:28" s="16" customFormat="1" ht="30">
      <c r="A1790" s="236"/>
      <c r="B1790" s="844"/>
      <c r="C1790" s="69" t="s">
        <v>1020</v>
      </c>
      <c r="D1790" s="679">
        <v>40890</v>
      </c>
      <c r="E1790" s="1137" t="s">
        <v>5002</v>
      </c>
      <c r="F1790" s="1129" t="s">
        <v>5001</v>
      </c>
      <c r="G1790" s="354"/>
      <c r="H1790" s="456"/>
      <c r="I1790" s="456"/>
      <c r="J1790" s="455"/>
      <c r="K1790" s="455"/>
      <c r="L1790" s="457">
        <v>1500</v>
      </c>
      <c r="M1790" s="768">
        <f t="shared" si="164"/>
        <v>1500</v>
      </c>
      <c r="N1790" s="1137" t="s">
        <v>517</v>
      </c>
      <c r="O1790" s="1137"/>
      <c r="P1790" s="1136"/>
      <c r="Q1790" s="223"/>
      <c r="R1790" s="223"/>
      <c r="S1790" s="928"/>
      <c r="T1790" s="928"/>
      <c r="U1790" s="928"/>
      <c r="V1790" s="14" t="s">
        <v>61</v>
      </c>
      <c r="W1790" s="10"/>
      <c r="X1790" s="16">
        <f t="shared" si="162"/>
        <v>1500</v>
      </c>
      <c r="Y1790" s="16">
        <f t="shared" si="163"/>
        <v>0</v>
      </c>
      <c r="Z1790" s="10"/>
      <c r="AA1790" s="10"/>
      <c r="AB1790" s="10"/>
    </row>
    <row r="1791" spans="1:28" s="16" customFormat="1" ht="30">
      <c r="A1791" s="236"/>
      <c r="B1791" s="844"/>
      <c r="C1791" s="69" t="s">
        <v>1021</v>
      </c>
      <c r="D1791" s="679">
        <v>40890</v>
      </c>
      <c r="E1791" s="1137" t="s">
        <v>5002</v>
      </c>
      <c r="F1791" s="1129" t="s">
        <v>5001</v>
      </c>
      <c r="G1791" s="354"/>
      <c r="H1791" s="456"/>
      <c r="I1791" s="456"/>
      <c r="J1791" s="455"/>
      <c r="K1791" s="455"/>
      <c r="L1791" s="457">
        <v>2000</v>
      </c>
      <c r="M1791" s="768">
        <f t="shared" si="164"/>
        <v>2000</v>
      </c>
      <c r="N1791" s="1137" t="s">
        <v>517</v>
      </c>
      <c r="O1791" s="1137"/>
      <c r="P1791" s="1136"/>
      <c r="Q1791" s="223"/>
      <c r="R1791" s="223"/>
      <c r="S1791" s="928"/>
      <c r="T1791" s="928"/>
      <c r="U1791" s="928"/>
      <c r="V1791" s="14" t="s">
        <v>61</v>
      </c>
      <c r="W1791" s="10"/>
      <c r="X1791" s="16">
        <f t="shared" si="162"/>
        <v>2000</v>
      </c>
      <c r="Y1791" s="16">
        <f t="shared" si="163"/>
        <v>0</v>
      </c>
      <c r="Z1791" s="10"/>
      <c r="AA1791" s="10"/>
      <c r="AB1791" s="10"/>
    </row>
    <row r="1792" spans="1:28" s="16" customFormat="1" ht="30">
      <c r="A1792" s="236"/>
      <c r="B1792" s="844"/>
      <c r="C1792" s="69" t="s">
        <v>1022</v>
      </c>
      <c r="D1792" s="679">
        <v>40890</v>
      </c>
      <c r="E1792" s="1137" t="s">
        <v>5002</v>
      </c>
      <c r="F1792" s="1129" t="s">
        <v>5001</v>
      </c>
      <c r="G1792" s="354"/>
      <c r="H1792" s="456"/>
      <c r="I1792" s="456"/>
      <c r="J1792" s="455"/>
      <c r="K1792" s="455"/>
      <c r="L1792" s="457">
        <v>6750</v>
      </c>
      <c r="M1792" s="768">
        <f t="shared" si="164"/>
        <v>6750</v>
      </c>
      <c r="N1792" s="1137" t="s">
        <v>517</v>
      </c>
      <c r="O1792" s="1137"/>
      <c r="P1792" s="1136"/>
      <c r="Q1792" s="223"/>
      <c r="R1792" s="223"/>
      <c r="S1792" s="928"/>
      <c r="T1792" s="928"/>
      <c r="U1792" s="928"/>
      <c r="V1792" s="14" t="s">
        <v>61</v>
      </c>
      <c r="W1792" s="10"/>
      <c r="X1792" s="16">
        <f t="shared" si="162"/>
        <v>6750</v>
      </c>
      <c r="Y1792" s="16">
        <f t="shared" si="163"/>
        <v>0</v>
      </c>
      <c r="Z1792" s="10"/>
      <c r="AA1792" s="10"/>
      <c r="AB1792" s="10"/>
    </row>
    <row r="1793" spans="1:28" s="16" customFormat="1" ht="30">
      <c r="A1793" s="236"/>
      <c r="B1793" s="844"/>
      <c r="C1793" s="69" t="s">
        <v>1023</v>
      </c>
      <c r="D1793" s="679">
        <v>40890</v>
      </c>
      <c r="E1793" s="1137" t="s">
        <v>5002</v>
      </c>
      <c r="F1793" s="1129" t="s">
        <v>5001</v>
      </c>
      <c r="G1793" s="354"/>
      <c r="H1793" s="456"/>
      <c r="I1793" s="456"/>
      <c r="J1793" s="455"/>
      <c r="K1793" s="455"/>
      <c r="L1793" s="457">
        <v>2000</v>
      </c>
      <c r="M1793" s="768">
        <f t="shared" si="164"/>
        <v>2000</v>
      </c>
      <c r="N1793" s="1137" t="s">
        <v>517</v>
      </c>
      <c r="O1793" s="1137"/>
      <c r="P1793" s="1136"/>
      <c r="Q1793" s="223"/>
      <c r="R1793" s="223"/>
      <c r="S1793" s="928"/>
      <c r="T1793" s="928"/>
      <c r="U1793" s="928"/>
      <c r="V1793" s="14" t="s">
        <v>61</v>
      </c>
      <c r="W1793" s="10"/>
      <c r="X1793" s="16">
        <f t="shared" si="162"/>
        <v>2000</v>
      </c>
      <c r="Y1793" s="16">
        <f t="shared" si="163"/>
        <v>0</v>
      </c>
      <c r="Z1793" s="10"/>
      <c r="AA1793" s="10"/>
      <c r="AB1793" s="10"/>
    </row>
    <row r="1794" spans="1:28" s="16" customFormat="1" ht="30">
      <c r="A1794" s="236"/>
      <c r="B1794" s="844"/>
      <c r="C1794" s="69" t="s">
        <v>1024</v>
      </c>
      <c r="D1794" s="679">
        <v>40890</v>
      </c>
      <c r="E1794" s="1137" t="s">
        <v>5002</v>
      </c>
      <c r="F1794" s="1129" t="s">
        <v>5001</v>
      </c>
      <c r="G1794" s="354"/>
      <c r="H1794" s="456"/>
      <c r="I1794" s="456"/>
      <c r="J1794" s="455"/>
      <c r="K1794" s="455"/>
      <c r="L1794" s="457">
        <v>500</v>
      </c>
      <c r="M1794" s="768">
        <f t="shared" si="164"/>
        <v>500</v>
      </c>
      <c r="N1794" s="1137" t="s">
        <v>517</v>
      </c>
      <c r="O1794" s="1137"/>
      <c r="P1794" s="1136"/>
      <c r="Q1794" s="223"/>
      <c r="R1794" s="223"/>
      <c r="S1794" s="928"/>
      <c r="T1794" s="928"/>
      <c r="U1794" s="928"/>
      <c r="V1794" s="14" t="s">
        <v>61</v>
      </c>
      <c r="W1794" s="10"/>
      <c r="X1794" s="16">
        <f t="shared" si="162"/>
        <v>500</v>
      </c>
      <c r="Y1794" s="16">
        <f t="shared" si="163"/>
        <v>0</v>
      </c>
      <c r="Z1794" s="10"/>
      <c r="AA1794" s="10"/>
      <c r="AB1794" s="10"/>
    </row>
    <row r="1795" spans="1:28" s="16" customFormat="1" ht="30">
      <c r="A1795" s="236"/>
      <c r="B1795" s="844"/>
      <c r="C1795" s="69" t="s">
        <v>1025</v>
      </c>
      <c r="D1795" s="679">
        <v>40890</v>
      </c>
      <c r="E1795" s="1137" t="s">
        <v>5002</v>
      </c>
      <c r="F1795" s="1129" t="s">
        <v>5001</v>
      </c>
      <c r="G1795" s="354"/>
      <c r="H1795" s="456"/>
      <c r="I1795" s="456"/>
      <c r="J1795" s="455"/>
      <c r="K1795" s="455"/>
      <c r="L1795" s="457">
        <v>2000</v>
      </c>
      <c r="M1795" s="768">
        <f t="shared" si="164"/>
        <v>2000</v>
      </c>
      <c r="N1795" s="1137" t="s">
        <v>517</v>
      </c>
      <c r="O1795" s="1137"/>
      <c r="P1795" s="1136"/>
      <c r="Q1795" s="223"/>
      <c r="R1795" s="223"/>
      <c r="S1795" s="928"/>
      <c r="T1795" s="928"/>
      <c r="U1795" s="928"/>
      <c r="V1795" s="14" t="s">
        <v>61</v>
      </c>
      <c r="W1795" s="10"/>
      <c r="X1795" s="16">
        <f t="shared" si="162"/>
        <v>2000</v>
      </c>
      <c r="Y1795" s="16">
        <f t="shared" si="163"/>
        <v>0</v>
      </c>
      <c r="Z1795" s="10"/>
      <c r="AA1795" s="10"/>
      <c r="AB1795" s="10"/>
    </row>
    <row r="1796" spans="1:28" s="16" customFormat="1" ht="30">
      <c r="A1796" s="236"/>
      <c r="B1796" s="844"/>
      <c r="C1796" s="69" t="s">
        <v>1026</v>
      </c>
      <c r="D1796" s="679">
        <v>40890</v>
      </c>
      <c r="E1796" s="1137" t="s">
        <v>5002</v>
      </c>
      <c r="F1796" s="1129" t="s">
        <v>5001</v>
      </c>
      <c r="G1796" s="354"/>
      <c r="H1796" s="456"/>
      <c r="I1796" s="456"/>
      <c r="J1796" s="455"/>
      <c r="K1796" s="455"/>
      <c r="L1796" s="457">
        <v>2300</v>
      </c>
      <c r="M1796" s="768">
        <f t="shared" si="164"/>
        <v>2300</v>
      </c>
      <c r="N1796" s="1137" t="s">
        <v>517</v>
      </c>
      <c r="O1796" s="1137"/>
      <c r="P1796" s="1136"/>
      <c r="Q1796" s="223"/>
      <c r="R1796" s="223"/>
      <c r="S1796" s="928"/>
      <c r="T1796" s="928"/>
      <c r="U1796" s="928"/>
      <c r="V1796" s="14" t="s">
        <v>61</v>
      </c>
      <c r="W1796" s="10"/>
      <c r="X1796" s="16">
        <f t="shared" si="162"/>
        <v>2300</v>
      </c>
      <c r="Y1796" s="16">
        <f t="shared" si="163"/>
        <v>0</v>
      </c>
      <c r="Z1796" s="10"/>
      <c r="AA1796" s="10"/>
      <c r="AB1796" s="10"/>
    </row>
    <row r="1797" spans="1:28" s="16" customFormat="1" ht="30">
      <c r="A1797" s="236"/>
      <c r="B1797" s="844"/>
      <c r="C1797" s="69" t="s">
        <v>1027</v>
      </c>
      <c r="D1797" s="679">
        <v>40890</v>
      </c>
      <c r="E1797" s="1137" t="s">
        <v>5002</v>
      </c>
      <c r="F1797" s="1129" t="s">
        <v>5001</v>
      </c>
      <c r="G1797" s="354"/>
      <c r="H1797" s="456"/>
      <c r="I1797" s="456"/>
      <c r="J1797" s="455"/>
      <c r="K1797" s="455"/>
      <c r="L1797" s="457">
        <v>1500</v>
      </c>
      <c r="M1797" s="768">
        <f t="shared" si="164"/>
        <v>1500</v>
      </c>
      <c r="N1797" s="1137" t="s">
        <v>517</v>
      </c>
      <c r="O1797" s="1137"/>
      <c r="P1797" s="1136"/>
      <c r="Q1797" s="223"/>
      <c r="R1797" s="223"/>
      <c r="S1797" s="928"/>
      <c r="T1797" s="928"/>
      <c r="U1797" s="928"/>
      <c r="V1797" s="14" t="s">
        <v>61</v>
      </c>
      <c r="W1797" s="10"/>
      <c r="X1797" s="16">
        <f t="shared" si="162"/>
        <v>1500</v>
      </c>
      <c r="Y1797" s="16">
        <f t="shared" si="163"/>
        <v>0</v>
      </c>
      <c r="Z1797" s="10"/>
      <c r="AA1797" s="10"/>
      <c r="AB1797" s="10"/>
    </row>
    <row r="1798" spans="1:28" s="16" customFormat="1" ht="30">
      <c r="A1798" s="236"/>
      <c r="B1798" s="844"/>
      <c r="C1798" s="69" t="s">
        <v>1028</v>
      </c>
      <c r="D1798" s="679">
        <v>40890</v>
      </c>
      <c r="E1798" s="1137" t="s">
        <v>5002</v>
      </c>
      <c r="F1798" s="1129" t="s">
        <v>5001</v>
      </c>
      <c r="G1798" s="354"/>
      <c r="H1798" s="456"/>
      <c r="I1798" s="456"/>
      <c r="J1798" s="455"/>
      <c r="K1798" s="455"/>
      <c r="L1798" s="457">
        <v>755</v>
      </c>
      <c r="M1798" s="768">
        <f t="shared" si="164"/>
        <v>755</v>
      </c>
      <c r="N1798" s="1137" t="s">
        <v>517</v>
      </c>
      <c r="O1798" s="1137"/>
      <c r="P1798" s="1136"/>
      <c r="Q1798" s="223"/>
      <c r="R1798" s="223"/>
      <c r="S1798" s="928"/>
      <c r="T1798" s="928"/>
      <c r="U1798" s="928"/>
      <c r="V1798" s="14" t="s">
        <v>61</v>
      </c>
      <c r="W1798" s="10"/>
      <c r="X1798" s="16">
        <f t="shared" si="162"/>
        <v>755</v>
      </c>
      <c r="Y1798" s="16">
        <f t="shared" si="163"/>
        <v>0</v>
      </c>
      <c r="Z1798" s="10"/>
      <c r="AA1798" s="10"/>
      <c r="AB1798" s="10"/>
    </row>
    <row r="1799" spans="1:28" s="16" customFormat="1" ht="30">
      <c r="A1799" s="236"/>
      <c r="B1799" s="844"/>
      <c r="C1799" s="69" t="s">
        <v>1029</v>
      </c>
      <c r="D1799" s="679">
        <v>40890</v>
      </c>
      <c r="E1799" s="1137" t="s">
        <v>5002</v>
      </c>
      <c r="F1799" s="1129" t="s">
        <v>5001</v>
      </c>
      <c r="G1799" s="354"/>
      <c r="H1799" s="456"/>
      <c r="I1799" s="456"/>
      <c r="J1799" s="455"/>
      <c r="K1799" s="455"/>
      <c r="L1799" s="457">
        <v>1000</v>
      </c>
      <c r="M1799" s="768">
        <f t="shared" si="164"/>
        <v>1000</v>
      </c>
      <c r="N1799" s="1137" t="s">
        <v>517</v>
      </c>
      <c r="O1799" s="1137"/>
      <c r="P1799" s="1136"/>
      <c r="Q1799" s="223"/>
      <c r="R1799" s="223"/>
      <c r="S1799" s="928"/>
      <c r="T1799" s="928"/>
      <c r="U1799" s="928"/>
      <c r="V1799" s="14" t="s">
        <v>61</v>
      </c>
      <c r="W1799" s="10"/>
      <c r="X1799" s="16">
        <f t="shared" si="162"/>
        <v>1000</v>
      </c>
      <c r="Y1799" s="16">
        <f t="shared" si="163"/>
        <v>0</v>
      </c>
      <c r="Z1799" s="10"/>
      <c r="AA1799" s="10"/>
      <c r="AB1799" s="10"/>
    </row>
    <row r="1800" spans="1:28" s="16" customFormat="1" ht="30">
      <c r="A1800" s="236"/>
      <c r="B1800" s="844"/>
      <c r="C1800" s="69" t="s">
        <v>1030</v>
      </c>
      <c r="D1800" s="679">
        <v>40890</v>
      </c>
      <c r="E1800" s="1137" t="s">
        <v>5002</v>
      </c>
      <c r="F1800" s="1129" t="s">
        <v>5001</v>
      </c>
      <c r="G1800" s="354"/>
      <c r="H1800" s="456"/>
      <c r="I1800" s="456"/>
      <c r="J1800" s="455"/>
      <c r="K1800" s="455"/>
      <c r="L1800" s="457">
        <v>3500</v>
      </c>
      <c r="M1800" s="768">
        <f t="shared" si="164"/>
        <v>3500</v>
      </c>
      <c r="N1800" s="1137" t="s">
        <v>517</v>
      </c>
      <c r="O1800" s="1137"/>
      <c r="P1800" s="1136"/>
      <c r="Q1800" s="223"/>
      <c r="R1800" s="223"/>
      <c r="S1800" s="928"/>
      <c r="T1800" s="928"/>
      <c r="U1800" s="928"/>
      <c r="V1800" s="14" t="s">
        <v>61</v>
      </c>
      <c r="W1800" s="10"/>
      <c r="X1800" s="16">
        <f t="shared" ref="X1800:X1862" si="165">SUM(J1800:L1800)</f>
        <v>3500</v>
      </c>
      <c r="Y1800" s="16">
        <f t="shared" si="163"/>
        <v>0</v>
      </c>
      <c r="Z1800" s="10"/>
      <c r="AA1800" s="10"/>
      <c r="AB1800" s="10"/>
    </row>
    <row r="1801" spans="1:28" s="16" customFormat="1" ht="30">
      <c r="A1801" s="236"/>
      <c r="B1801" s="844"/>
      <c r="C1801" s="69" t="s">
        <v>1031</v>
      </c>
      <c r="D1801" s="679">
        <v>40890</v>
      </c>
      <c r="E1801" s="1137" t="s">
        <v>5002</v>
      </c>
      <c r="F1801" s="1129" t="s">
        <v>5001</v>
      </c>
      <c r="G1801" s="354"/>
      <c r="H1801" s="456"/>
      <c r="I1801" s="456"/>
      <c r="J1801" s="455"/>
      <c r="K1801" s="455"/>
      <c r="L1801" s="457">
        <v>1000</v>
      </c>
      <c r="M1801" s="768">
        <f t="shared" si="164"/>
        <v>1000</v>
      </c>
      <c r="N1801" s="1137" t="s">
        <v>517</v>
      </c>
      <c r="O1801" s="1137"/>
      <c r="P1801" s="1136"/>
      <c r="Q1801" s="223"/>
      <c r="R1801" s="223"/>
      <c r="S1801" s="928"/>
      <c r="T1801" s="928"/>
      <c r="U1801" s="928"/>
      <c r="V1801" s="14" t="s">
        <v>61</v>
      </c>
      <c r="W1801" s="10"/>
      <c r="X1801" s="16">
        <f t="shared" si="165"/>
        <v>1000</v>
      </c>
      <c r="Y1801" s="16">
        <f t="shared" si="163"/>
        <v>0</v>
      </c>
      <c r="Z1801" s="10"/>
      <c r="AA1801" s="10"/>
      <c r="AB1801" s="10"/>
    </row>
    <row r="1802" spans="1:28" s="16" customFormat="1" ht="30">
      <c r="A1802" s="236"/>
      <c r="B1802" s="844"/>
      <c r="C1802" s="69" t="s">
        <v>1032</v>
      </c>
      <c r="D1802" s="679">
        <v>40890</v>
      </c>
      <c r="E1802" s="1137" t="s">
        <v>5002</v>
      </c>
      <c r="F1802" s="1129" t="s">
        <v>5001</v>
      </c>
      <c r="G1802" s="354"/>
      <c r="H1802" s="456"/>
      <c r="I1802" s="456"/>
      <c r="J1802" s="455"/>
      <c r="K1802" s="455"/>
      <c r="L1802" s="457">
        <v>3500</v>
      </c>
      <c r="M1802" s="768">
        <f t="shared" si="164"/>
        <v>3500</v>
      </c>
      <c r="N1802" s="1137" t="s">
        <v>517</v>
      </c>
      <c r="O1802" s="1137"/>
      <c r="P1802" s="1136"/>
      <c r="Q1802" s="223"/>
      <c r="R1802" s="223"/>
      <c r="S1802" s="928"/>
      <c r="T1802" s="928"/>
      <c r="U1802" s="928"/>
      <c r="V1802" s="14" t="s">
        <v>61</v>
      </c>
      <c r="W1802" s="10"/>
      <c r="X1802" s="16">
        <f t="shared" si="165"/>
        <v>3500</v>
      </c>
      <c r="Y1802" s="16">
        <f t="shared" si="163"/>
        <v>0</v>
      </c>
      <c r="Z1802" s="10"/>
      <c r="AA1802" s="10"/>
      <c r="AB1802" s="10"/>
    </row>
    <row r="1803" spans="1:28" s="16" customFormat="1" ht="30">
      <c r="A1803" s="236"/>
      <c r="B1803" s="844"/>
      <c r="C1803" s="69" t="s">
        <v>1033</v>
      </c>
      <c r="D1803" s="679">
        <v>40890</v>
      </c>
      <c r="E1803" s="1137" t="s">
        <v>5002</v>
      </c>
      <c r="F1803" s="1129" t="s">
        <v>5001</v>
      </c>
      <c r="G1803" s="354"/>
      <c r="H1803" s="456"/>
      <c r="I1803" s="456"/>
      <c r="J1803" s="455"/>
      <c r="K1803" s="455"/>
      <c r="L1803" s="457">
        <v>2000</v>
      </c>
      <c r="M1803" s="768">
        <f t="shared" si="164"/>
        <v>2000</v>
      </c>
      <c r="N1803" s="1137" t="s">
        <v>517</v>
      </c>
      <c r="O1803" s="1137"/>
      <c r="P1803" s="1136"/>
      <c r="Q1803" s="223"/>
      <c r="R1803" s="223"/>
      <c r="S1803" s="928"/>
      <c r="T1803" s="928"/>
      <c r="U1803" s="928"/>
      <c r="V1803" s="14" t="s">
        <v>61</v>
      </c>
      <c r="W1803" s="10"/>
      <c r="X1803" s="16">
        <f t="shared" si="165"/>
        <v>2000</v>
      </c>
      <c r="Y1803" s="16">
        <f t="shared" si="163"/>
        <v>0</v>
      </c>
      <c r="Z1803" s="10"/>
      <c r="AA1803" s="10"/>
      <c r="AB1803" s="10"/>
    </row>
    <row r="1804" spans="1:28" s="16" customFormat="1" ht="30">
      <c r="A1804" s="236"/>
      <c r="B1804" s="844"/>
      <c r="C1804" s="69" t="s">
        <v>1034</v>
      </c>
      <c r="D1804" s="679">
        <v>40890</v>
      </c>
      <c r="E1804" s="1137" t="s">
        <v>5002</v>
      </c>
      <c r="F1804" s="1129" t="s">
        <v>5001</v>
      </c>
      <c r="G1804" s="354"/>
      <c r="H1804" s="456"/>
      <c r="I1804" s="456"/>
      <c r="J1804" s="455"/>
      <c r="K1804" s="455"/>
      <c r="L1804" s="457">
        <v>1000</v>
      </c>
      <c r="M1804" s="768">
        <f t="shared" si="164"/>
        <v>1000</v>
      </c>
      <c r="N1804" s="1137" t="s">
        <v>517</v>
      </c>
      <c r="O1804" s="1137"/>
      <c r="P1804" s="1136"/>
      <c r="Q1804" s="223"/>
      <c r="R1804" s="223"/>
      <c r="S1804" s="928"/>
      <c r="T1804" s="928"/>
      <c r="U1804" s="928"/>
      <c r="V1804" s="14" t="s">
        <v>61</v>
      </c>
      <c r="W1804" s="10"/>
      <c r="X1804" s="16">
        <f t="shared" si="165"/>
        <v>1000</v>
      </c>
      <c r="Y1804" s="16">
        <f t="shared" si="163"/>
        <v>0</v>
      </c>
      <c r="Z1804" s="10"/>
      <c r="AA1804" s="10"/>
      <c r="AB1804" s="10"/>
    </row>
    <row r="1805" spans="1:28" s="16" customFormat="1" ht="30">
      <c r="A1805" s="236"/>
      <c r="B1805" s="844"/>
      <c r="C1805" s="69" t="s">
        <v>1035</v>
      </c>
      <c r="D1805" s="679">
        <v>40890</v>
      </c>
      <c r="E1805" s="1137" t="s">
        <v>5002</v>
      </c>
      <c r="F1805" s="1129" t="s">
        <v>5001</v>
      </c>
      <c r="G1805" s="354"/>
      <c r="H1805" s="456"/>
      <c r="I1805" s="456"/>
      <c r="J1805" s="455"/>
      <c r="K1805" s="455"/>
      <c r="L1805" s="457">
        <v>5500</v>
      </c>
      <c r="M1805" s="768">
        <f t="shared" si="164"/>
        <v>5500</v>
      </c>
      <c r="N1805" s="1137" t="s">
        <v>517</v>
      </c>
      <c r="O1805" s="1137"/>
      <c r="P1805" s="1136"/>
      <c r="Q1805" s="223"/>
      <c r="R1805" s="223"/>
      <c r="S1805" s="928"/>
      <c r="T1805" s="928"/>
      <c r="U1805" s="928"/>
      <c r="V1805" s="14" t="s">
        <v>61</v>
      </c>
      <c r="W1805" s="10"/>
      <c r="X1805" s="16">
        <f t="shared" si="165"/>
        <v>5500</v>
      </c>
      <c r="Y1805" s="16">
        <f t="shared" si="163"/>
        <v>0</v>
      </c>
      <c r="Z1805" s="10"/>
      <c r="AA1805" s="10"/>
      <c r="AB1805" s="10"/>
    </row>
    <row r="1806" spans="1:28" s="16" customFormat="1" ht="30">
      <c r="A1806" s="236"/>
      <c r="B1806" s="844"/>
      <c r="C1806" s="69" t="s">
        <v>1036</v>
      </c>
      <c r="D1806" s="679">
        <v>40890</v>
      </c>
      <c r="E1806" s="1137" t="s">
        <v>5002</v>
      </c>
      <c r="F1806" s="1129" t="s">
        <v>5001</v>
      </c>
      <c r="G1806" s="354"/>
      <c r="H1806" s="456"/>
      <c r="I1806" s="456"/>
      <c r="J1806" s="455"/>
      <c r="K1806" s="455"/>
      <c r="L1806" s="457">
        <v>2000</v>
      </c>
      <c r="M1806" s="768">
        <f t="shared" si="164"/>
        <v>2000</v>
      </c>
      <c r="N1806" s="1137" t="s">
        <v>517</v>
      </c>
      <c r="O1806" s="1137"/>
      <c r="P1806" s="1136"/>
      <c r="Q1806" s="223"/>
      <c r="R1806" s="223"/>
      <c r="S1806" s="928"/>
      <c r="T1806" s="928"/>
      <c r="U1806" s="928"/>
      <c r="V1806" s="14" t="s">
        <v>61</v>
      </c>
      <c r="W1806" s="10"/>
      <c r="X1806" s="16">
        <f t="shared" si="165"/>
        <v>2000</v>
      </c>
      <c r="Y1806" s="16">
        <f t="shared" si="163"/>
        <v>0</v>
      </c>
      <c r="Z1806" s="10"/>
      <c r="AA1806" s="10"/>
      <c r="AB1806" s="10"/>
    </row>
    <row r="1807" spans="1:28" s="16" customFormat="1" ht="30">
      <c r="A1807" s="236"/>
      <c r="B1807" s="844"/>
      <c r="C1807" s="69" t="s">
        <v>1037</v>
      </c>
      <c r="D1807" s="679">
        <v>40890</v>
      </c>
      <c r="E1807" s="1137" t="s">
        <v>5002</v>
      </c>
      <c r="F1807" s="1129" t="s">
        <v>5001</v>
      </c>
      <c r="G1807" s="354"/>
      <c r="H1807" s="456"/>
      <c r="I1807" s="456"/>
      <c r="J1807" s="455"/>
      <c r="K1807" s="455"/>
      <c r="L1807" s="457">
        <v>1000</v>
      </c>
      <c r="M1807" s="768">
        <f t="shared" si="164"/>
        <v>1000</v>
      </c>
      <c r="N1807" s="1137" t="s">
        <v>517</v>
      </c>
      <c r="O1807" s="1137"/>
      <c r="P1807" s="1136"/>
      <c r="Q1807" s="223"/>
      <c r="R1807" s="223"/>
      <c r="S1807" s="928"/>
      <c r="T1807" s="928"/>
      <c r="U1807" s="928"/>
      <c r="V1807" s="14" t="s">
        <v>61</v>
      </c>
      <c r="W1807" s="10"/>
      <c r="X1807" s="16">
        <f t="shared" si="165"/>
        <v>1000</v>
      </c>
      <c r="Y1807" s="16">
        <f t="shared" si="163"/>
        <v>0</v>
      </c>
      <c r="Z1807" s="10"/>
      <c r="AA1807" s="10"/>
      <c r="AB1807" s="10"/>
    </row>
    <row r="1808" spans="1:28" s="16" customFormat="1" ht="30">
      <c r="A1808" s="236"/>
      <c r="B1808" s="844"/>
      <c r="C1808" s="69" t="s">
        <v>1038</v>
      </c>
      <c r="D1808" s="679">
        <v>40890</v>
      </c>
      <c r="E1808" s="1137" t="s">
        <v>5002</v>
      </c>
      <c r="F1808" s="1129" t="s">
        <v>5001</v>
      </c>
      <c r="G1808" s="354"/>
      <c r="H1808" s="456"/>
      <c r="I1808" s="456"/>
      <c r="J1808" s="455"/>
      <c r="K1808" s="455"/>
      <c r="L1808" s="457">
        <v>2000</v>
      </c>
      <c r="M1808" s="768">
        <f t="shared" si="164"/>
        <v>2000</v>
      </c>
      <c r="N1808" s="1137" t="s">
        <v>517</v>
      </c>
      <c r="O1808" s="1137"/>
      <c r="P1808" s="1136"/>
      <c r="Q1808" s="223"/>
      <c r="R1808" s="223"/>
      <c r="S1808" s="928"/>
      <c r="T1808" s="928"/>
      <c r="U1808" s="928"/>
      <c r="V1808" s="14" t="s">
        <v>61</v>
      </c>
      <c r="W1808" s="10"/>
      <c r="X1808" s="16">
        <f t="shared" si="165"/>
        <v>2000</v>
      </c>
      <c r="Y1808" s="16">
        <f t="shared" si="163"/>
        <v>0</v>
      </c>
      <c r="Z1808" s="10"/>
      <c r="AA1808" s="10"/>
      <c r="AB1808" s="10"/>
    </row>
    <row r="1809" spans="1:28" s="16" customFormat="1" ht="30">
      <c r="A1809" s="236"/>
      <c r="B1809" s="844"/>
      <c r="C1809" s="69" t="s">
        <v>1039</v>
      </c>
      <c r="D1809" s="679">
        <v>40890</v>
      </c>
      <c r="E1809" s="1137" t="s">
        <v>5002</v>
      </c>
      <c r="F1809" s="1129" t="s">
        <v>5001</v>
      </c>
      <c r="G1809" s="354"/>
      <c r="H1809" s="456"/>
      <c r="I1809" s="456"/>
      <c r="J1809" s="455"/>
      <c r="K1809" s="455"/>
      <c r="L1809" s="457">
        <v>7000</v>
      </c>
      <c r="M1809" s="768">
        <f t="shared" si="164"/>
        <v>7000</v>
      </c>
      <c r="N1809" s="1137" t="s">
        <v>517</v>
      </c>
      <c r="O1809" s="1137"/>
      <c r="P1809" s="1136"/>
      <c r="Q1809" s="223"/>
      <c r="R1809" s="223"/>
      <c r="S1809" s="928"/>
      <c r="T1809" s="928"/>
      <c r="U1809" s="928"/>
      <c r="V1809" s="14" t="s">
        <v>61</v>
      </c>
      <c r="W1809" s="10"/>
      <c r="X1809" s="16">
        <f t="shared" si="165"/>
        <v>7000</v>
      </c>
      <c r="Y1809" s="16">
        <f t="shared" si="163"/>
        <v>0</v>
      </c>
      <c r="Z1809" s="10"/>
      <c r="AA1809" s="10"/>
      <c r="AB1809" s="10"/>
    </row>
    <row r="1810" spans="1:28" s="16" customFormat="1" ht="30">
      <c r="A1810" s="236"/>
      <c r="B1810" s="844"/>
      <c r="C1810" s="69" t="s">
        <v>1040</v>
      </c>
      <c r="D1810" s="679">
        <v>40890</v>
      </c>
      <c r="E1810" s="1137" t="s">
        <v>5002</v>
      </c>
      <c r="F1810" s="1129" t="s">
        <v>5001</v>
      </c>
      <c r="G1810" s="354"/>
      <c r="H1810" s="456"/>
      <c r="I1810" s="456"/>
      <c r="J1810" s="455"/>
      <c r="K1810" s="455"/>
      <c r="L1810" s="457">
        <v>250</v>
      </c>
      <c r="M1810" s="768">
        <f t="shared" si="164"/>
        <v>250</v>
      </c>
      <c r="N1810" s="1137" t="s">
        <v>517</v>
      </c>
      <c r="O1810" s="1137"/>
      <c r="P1810" s="1136"/>
      <c r="Q1810" s="223"/>
      <c r="R1810" s="223"/>
      <c r="S1810" s="928"/>
      <c r="T1810" s="928"/>
      <c r="U1810" s="928"/>
      <c r="V1810" s="14" t="s">
        <v>61</v>
      </c>
      <c r="W1810" s="10"/>
      <c r="X1810" s="16">
        <f t="shared" si="165"/>
        <v>250</v>
      </c>
      <c r="Y1810" s="16">
        <f t="shared" si="163"/>
        <v>0</v>
      </c>
      <c r="Z1810" s="10"/>
      <c r="AA1810" s="10"/>
      <c r="AB1810" s="10"/>
    </row>
    <row r="1811" spans="1:28" s="16" customFormat="1" ht="30">
      <c r="A1811" s="236"/>
      <c r="B1811" s="844"/>
      <c r="C1811" s="69" t="s">
        <v>1041</v>
      </c>
      <c r="D1811" s="679">
        <v>40890</v>
      </c>
      <c r="E1811" s="1137" t="s">
        <v>5002</v>
      </c>
      <c r="F1811" s="1129" t="s">
        <v>5001</v>
      </c>
      <c r="G1811" s="354"/>
      <c r="H1811" s="456"/>
      <c r="I1811" s="456"/>
      <c r="J1811" s="455"/>
      <c r="K1811" s="455"/>
      <c r="L1811" s="457">
        <v>250</v>
      </c>
      <c r="M1811" s="768">
        <f t="shared" si="164"/>
        <v>250</v>
      </c>
      <c r="N1811" s="1137" t="s">
        <v>517</v>
      </c>
      <c r="O1811" s="1137"/>
      <c r="P1811" s="1136"/>
      <c r="Q1811" s="223"/>
      <c r="R1811" s="223"/>
      <c r="S1811" s="928"/>
      <c r="T1811" s="928"/>
      <c r="U1811" s="928"/>
      <c r="V1811" s="14" t="s">
        <v>61</v>
      </c>
      <c r="W1811" s="10"/>
      <c r="X1811" s="16">
        <f t="shared" si="165"/>
        <v>250</v>
      </c>
      <c r="Y1811" s="16">
        <f t="shared" si="163"/>
        <v>0</v>
      </c>
      <c r="Z1811" s="10"/>
      <c r="AA1811" s="10"/>
      <c r="AB1811" s="10"/>
    </row>
    <row r="1812" spans="1:28" s="16" customFormat="1" ht="30">
      <c r="A1812" s="236"/>
      <c r="B1812" s="844"/>
      <c r="C1812" s="69" t="s">
        <v>1042</v>
      </c>
      <c r="D1812" s="679">
        <v>40890</v>
      </c>
      <c r="E1812" s="1137" t="s">
        <v>5002</v>
      </c>
      <c r="F1812" s="1129" t="s">
        <v>5001</v>
      </c>
      <c r="G1812" s="354"/>
      <c r="H1812" s="456"/>
      <c r="I1812" s="456"/>
      <c r="J1812" s="455"/>
      <c r="K1812" s="455"/>
      <c r="L1812" s="457">
        <v>1000</v>
      </c>
      <c r="M1812" s="768">
        <f t="shared" si="164"/>
        <v>1000</v>
      </c>
      <c r="N1812" s="1137" t="s">
        <v>517</v>
      </c>
      <c r="O1812" s="1137"/>
      <c r="P1812" s="1136"/>
      <c r="Q1812" s="223"/>
      <c r="R1812" s="223"/>
      <c r="S1812" s="928"/>
      <c r="T1812" s="928"/>
      <c r="U1812" s="928"/>
      <c r="V1812" s="14" t="s">
        <v>61</v>
      </c>
      <c r="W1812" s="10"/>
      <c r="X1812" s="16">
        <f t="shared" si="165"/>
        <v>1000</v>
      </c>
      <c r="Y1812" s="16">
        <f t="shared" si="163"/>
        <v>0</v>
      </c>
      <c r="Z1812" s="10"/>
      <c r="AA1812" s="10"/>
      <c r="AB1812" s="10"/>
    </row>
    <row r="1813" spans="1:28" s="16" customFormat="1" ht="30">
      <c r="A1813" s="236"/>
      <c r="B1813" s="844"/>
      <c r="C1813" s="69" t="s">
        <v>1043</v>
      </c>
      <c r="D1813" s="679">
        <v>40890</v>
      </c>
      <c r="E1813" s="1137" t="s">
        <v>5002</v>
      </c>
      <c r="F1813" s="1129" t="s">
        <v>5001</v>
      </c>
      <c r="G1813" s="354"/>
      <c r="H1813" s="456"/>
      <c r="I1813" s="456"/>
      <c r="J1813" s="455"/>
      <c r="K1813" s="455"/>
      <c r="L1813" s="457">
        <v>250</v>
      </c>
      <c r="M1813" s="768">
        <f t="shared" si="164"/>
        <v>250</v>
      </c>
      <c r="N1813" s="1137" t="s">
        <v>517</v>
      </c>
      <c r="O1813" s="1137"/>
      <c r="P1813" s="1136"/>
      <c r="Q1813" s="223"/>
      <c r="R1813" s="223"/>
      <c r="S1813" s="928"/>
      <c r="T1813" s="928"/>
      <c r="U1813" s="928"/>
      <c r="V1813" s="14" t="s">
        <v>61</v>
      </c>
      <c r="W1813" s="10"/>
      <c r="X1813" s="16">
        <f t="shared" si="165"/>
        <v>250</v>
      </c>
      <c r="Y1813" s="16">
        <f t="shared" si="163"/>
        <v>0</v>
      </c>
      <c r="Z1813" s="10"/>
      <c r="AA1813" s="10"/>
      <c r="AB1813" s="10"/>
    </row>
    <row r="1814" spans="1:28" s="16" customFormat="1" ht="30">
      <c r="A1814" s="236"/>
      <c r="B1814" s="844"/>
      <c r="C1814" s="69" t="s">
        <v>1044</v>
      </c>
      <c r="D1814" s="679">
        <v>40890</v>
      </c>
      <c r="E1814" s="1137" t="s">
        <v>5002</v>
      </c>
      <c r="F1814" s="1129" t="s">
        <v>5001</v>
      </c>
      <c r="G1814" s="354"/>
      <c r="H1814" s="456"/>
      <c r="I1814" s="456"/>
      <c r="J1814" s="455"/>
      <c r="K1814" s="455"/>
      <c r="L1814" s="457">
        <v>3000</v>
      </c>
      <c r="M1814" s="768">
        <f t="shared" si="164"/>
        <v>3000</v>
      </c>
      <c r="N1814" s="1137" t="s">
        <v>517</v>
      </c>
      <c r="O1814" s="1137"/>
      <c r="P1814" s="1136"/>
      <c r="Q1814" s="223"/>
      <c r="R1814" s="223"/>
      <c r="S1814" s="928"/>
      <c r="T1814" s="928"/>
      <c r="U1814" s="928"/>
      <c r="V1814" s="14" t="s">
        <v>61</v>
      </c>
      <c r="W1814" s="10"/>
      <c r="X1814" s="16">
        <f t="shared" si="165"/>
        <v>3000</v>
      </c>
      <c r="Y1814" s="16">
        <f t="shared" si="163"/>
        <v>0</v>
      </c>
      <c r="Z1814" s="10"/>
      <c r="AA1814" s="10"/>
      <c r="AB1814" s="10"/>
    </row>
    <row r="1815" spans="1:28" s="16" customFormat="1" ht="30">
      <c r="A1815" s="236"/>
      <c r="B1815" s="844"/>
      <c r="C1815" s="69" t="s">
        <v>1045</v>
      </c>
      <c r="D1815" s="679">
        <v>40890</v>
      </c>
      <c r="E1815" s="1137" t="s">
        <v>5002</v>
      </c>
      <c r="F1815" s="1129" t="s">
        <v>5001</v>
      </c>
      <c r="G1815" s="354"/>
      <c r="H1815" s="456"/>
      <c r="I1815" s="456"/>
      <c r="J1815" s="455"/>
      <c r="K1815" s="455"/>
      <c r="L1815" s="457">
        <v>1500</v>
      </c>
      <c r="M1815" s="768">
        <f t="shared" si="164"/>
        <v>1500</v>
      </c>
      <c r="N1815" s="1137" t="s">
        <v>517</v>
      </c>
      <c r="O1815" s="1137"/>
      <c r="P1815" s="1136"/>
      <c r="Q1815" s="223"/>
      <c r="R1815" s="223"/>
      <c r="S1815" s="928"/>
      <c r="T1815" s="928"/>
      <c r="U1815" s="928"/>
      <c r="V1815" s="14" t="s">
        <v>61</v>
      </c>
      <c r="W1815" s="10"/>
      <c r="X1815" s="16">
        <f t="shared" si="165"/>
        <v>1500</v>
      </c>
      <c r="Y1815" s="16">
        <f t="shared" si="163"/>
        <v>0</v>
      </c>
      <c r="Z1815" s="10"/>
      <c r="AA1815" s="10"/>
      <c r="AB1815" s="10"/>
    </row>
    <row r="1816" spans="1:28" s="16" customFormat="1" ht="30">
      <c r="A1816" s="236"/>
      <c r="B1816" s="844"/>
      <c r="C1816" s="69" t="s">
        <v>1046</v>
      </c>
      <c r="D1816" s="679">
        <v>40890</v>
      </c>
      <c r="E1816" s="1137" t="s">
        <v>5002</v>
      </c>
      <c r="F1816" s="1129" t="s">
        <v>5001</v>
      </c>
      <c r="G1816" s="354"/>
      <c r="H1816" s="456"/>
      <c r="I1816" s="456"/>
      <c r="J1816" s="455"/>
      <c r="K1816" s="455"/>
      <c r="L1816" s="457">
        <v>2500</v>
      </c>
      <c r="M1816" s="768">
        <f t="shared" si="164"/>
        <v>2500</v>
      </c>
      <c r="N1816" s="1137" t="s">
        <v>517</v>
      </c>
      <c r="O1816" s="1137"/>
      <c r="P1816" s="1136"/>
      <c r="Q1816" s="223"/>
      <c r="R1816" s="223"/>
      <c r="S1816" s="928"/>
      <c r="T1816" s="928"/>
      <c r="U1816" s="928"/>
      <c r="V1816" s="14" t="s">
        <v>61</v>
      </c>
      <c r="W1816" s="10"/>
      <c r="X1816" s="16">
        <f t="shared" si="165"/>
        <v>2500</v>
      </c>
      <c r="Y1816" s="16">
        <f t="shared" si="163"/>
        <v>0</v>
      </c>
      <c r="Z1816" s="10"/>
      <c r="AA1816" s="10"/>
      <c r="AB1816" s="10"/>
    </row>
    <row r="1817" spans="1:28" s="16" customFormat="1" ht="30">
      <c r="A1817" s="236"/>
      <c r="B1817" s="844"/>
      <c r="C1817" s="69" t="s">
        <v>1047</v>
      </c>
      <c r="D1817" s="679">
        <v>40890</v>
      </c>
      <c r="E1817" s="1137" t="s">
        <v>5002</v>
      </c>
      <c r="F1817" s="1129" t="s">
        <v>5001</v>
      </c>
      <c r="G1817" s="354"/>
      <c r="H1817" s="456"/>
      <c r="I1817" s="456"/>
      <c r="J1817" s="455"/>
      <c r="K1817" s="455"/>
      <c r="L1817" s="457">
        <v>1000</v>
      </c>
      <c r="M1817" s="768">
        <f t="shared" si="164"/>
        <v>1000</v>
      </c>
      <c r="N1817" s="1137" t="s">
        <v>517</v>
      </c>
      <c r="O1817" s="1137"/>
      <c r="P1817" s="1136"/>
      <c r="Q1817" s="223"/>
      <c r="R1817" s="223"/>
      <c r="S1817" s="928"/>
      <c r="T1817" s="928"/>
      <c r="U1817" s="928"/>
      <c r="V1817" s="14" t="s">
        <v>61</v>
      </c>
      <c r="W1817" s="10"/>
      <c r="X1817" s="16">
        <f t="shared" si="165"/>
        <v>1000</v>
      </c>
      <c r="Y1817" s="16">
        <f t="shared" si="163"/>
        <v>0</v>
      </c>
      <c r="Z1817" s="10"/>
      <c r="AA1817" s="10"/>
      <c r="AB1817" s="10"/>
    </row>
    <row r="1818" spans="1:28" s="16" customFormat="1" ht="30">
      <c r="A1818" s="236"/>
      <c r="B1818" s="844"/>
      <c r="C1818" s="69" t="s">
        <v>1048</v>
      </c>
      <c r="D1818" s="679">
        <v>40890</v>
      </c>
      <c r="E1818" s="1137" t="s">
        <v>5002</v>
      </c>
      <c r="F1818" s="1129" t="s">
        <v>5001</v>
      </c>
      <c r="G1818" s="354"/>
      <c r="H1818" s="456"/>
      <c r="I1818" s="456"/>
      <c r="J1818" s="455"/>
      <c r="K1818" s="455"/>
      <c r="L1818" s="457">
        <v>250</v>
      </c>
      <c r="M1818" s="768">
        <f t="shared" si="164"/>
        <v>250</v>
      </c>
      <c r="N1818" s="1137" t="s">
        <v>517</v>
      </c>
      <c r="O1818" s="1137"/>
      <c r="P1818" s="1136"/>
      <c r="Q1818" s="223"/>
      <c r="R1818" s="223"/>
      <c r="S1818" s="928"/>
      <c r="T1818" s="928"/>
      <c r="U1818" s="928"/>
      <c r="V1818" s="14" t="s">
        <v>61</v>
      </c>
      <c r="W1818" s="10"/>
      <c r="X1818" s="16">
        <f t="shared" si="165"/>
        <v>250</v>
      </c>
      <c r="Y1818" s="16">
        <f t="shared" si="163"/>
        <v>0</v>
      </c>
      <c r="Z1818" s="10"/>
      <c r="AA1818" s="10"/>
      <c r="AB1818" s="10"/>
    </row>
    <row r="1819" spans="1:28" s="16" customFormat="1" ht="30">
      <c r="A1819" s="236"/>
      <c r="B1819" s="844"/>
      <c r="C1819" s="69" t="s">
        <v>1049</v>
      </c>
      <c r="D1819" s="679">
        <v>40890</v>
      </c>
      <c r="E1819" s="1137" t="s">
        <v>5002</v>
      </c>
      <c r="F1819" s="1129" t="s">
        <v>5001</v>
      </c>
      <c r="G1819" s="354"/>
      <c r="H1819" s="456"/>
      <c r="I1819" s="456"/>
      <c r="J1819" s="455"/>
      <c r="K1819" s="455"/>
      <c r="L1819" s="457">
        <v>250</v>
      </c>
      <c r="M1819" s="768">
        <f t="shared" si="164"/>
        <v>250</v>
      </c>
      <c r="N1819" s="1137" t="s">
        <v>517</v>
      </c>
      <c r="O1819" s="1137"/>
      <c r="P1819" s="1136"/>
      <c r="Q1819" s="223"/>
      <c r="R1819" s="223"/>
      <c r="S1819" s="928"/>
      <c r="T1819" s="928"/>
      <c r="U1819" s="928"/>
      <c r="V1819" s="14" t="s">
        <v>61</v>
      </c>
      <c r="W1819" s="10"/>
      <c r="X1819" s="16">
        <f t="shared" si="165"/>
        <v>250</v>
      </c>
      <c r="Y1819" s="16">
        <f t="shared" si="163"/>
        <v>0</v>
      </c>
      <c r="Z1819" s="10"/>
      <c r="AA1819" s="10"/>
      <c r="AB1819" s="10"/>
    </row>
    <row r="1820" spans="1:28" s="16" customFormat="1" ht="30">
      <c r="A1820" s="236"/>
      <c r="B1820" s="844"/>
      <c r="C1820" s="69" t="s">
        <v>1050</v>
      </c>
      <c r="D1820" s="679">
        <v>40890</v>
      </c>
      <c r="E1820" s="1137" t="s">
        <v>5002</v>
      </c>
      <c r="F1820" s="1129" t="s">
        <v>5001</v>
      </c>
      <c r="G1820" s="354"/>
      <c r="H1820" s="456"/>
      <c r="I1820" s="456"/>
      <c r="J1820" s="455"/>
      <c r="K1820" s="455"/>
      <c r="L1820" s="457">
        <v>37000</v>
      </c>
      <c r="M1820" s="768">
        <f t="shared" si="164"/>
        <v>37000</v>
      </c>
      <c r="N1820" s="1137" t="s">
        <v>517</v>
      </c>
      <c r="O1820" s="1137"/>
      <c r="P1820" s="1136"/>
      <c r="Q1820" s="223"/>
      <c r="R1820" s="223"/>
      <c r="S1820" s="928"/>
      <c r="T1820" s="928"/>
      <c r="U1820" s="928"/>
      <c r="V1820" s="14" t="s">
        <v>61</v>
      </c>
      <c r="W1820" s="10"/>
      <c r="X1820" s="16">
        <f t="shared" si="165"/>
        <v>37000</v>
      </c>
      <c r="Y1820" s="16">
        <f t="shared" si="163"/>
        <v>0</v>
      </c>
      <c r="Z1820" s="10"/>
      <c r="AA1820" s="10"/>
      <c r="AB1820" s="10"/>
    </row>
    <row r="1821" spans="1:28" s="16" customFormat="1" ht="30">
      <c r="A1821" s="236"/>
      <c r="B1821" s="844"/>
      <c r="C1821" s="69" t="s">
        <v>1051</v>
      </c>
      <c r="D1821" s="679">
        <v>40891</v>
      </c>
      <c r="E1821" s="1137" t="s">
        <v>5002</v>
      </c>
      <c r="F1821" s="1129" t="s">
        <v>5001</v>
      </c>
      <c r="G1821" s="354"/>
      <c r="H1821" s="456"/>
      <c r="I1821" s="456"/>
      <c r="J1821" s="455"/>
      <c r="K1821" s="455"/>
      <c r="L1821" s="457">
        <v>10000</v>
      </c>
      <c r="M1821" s="768">
        <f t="shared" si="164"/>
        <v>10000</v>
      </c>
      <c r="N1821" s="1137" t="s">
        <v>517</v>
      </c>
      <c r="O1821" s="1137"/>
      <c r="P1821" s="1136"/>
      <c r="Q1821" s="223"/>
      <c r="R1821" s="223"/>
      <c r="S1821" s="928"/>
      <c r="T1821" s="928"/>
      <c r="U1821" s="928"/>
      <c r="V1821" s="14" t="s">
        <v>61</v>
      </c>
      <c r="W1821" s="10"/>
      <c r="X1821" s="16">
        <f t="shared" si="165"/>
        <v>10000</v>
      </c>
      <c r="Y1821" s="16">
        <f t="shared" si="163"/>
        <v>0</v>
      </c>
      <c r="Z1821" s="10"/>
      <c r="AA1821" s="10"/>
      <c r="AB1821" s="10"/>
    </row>
    <row r="1822" spans="1:28" s="16" customFormat="1" ht="30">
      <c r="A1822" s="236"/>
      <c r="B1822" s="844"/>
      <c r="C1822" s="69" t="s">
        <v>1052</v>
      </c>
      <c r="D1822" s="679">
        <v>40891</v>
      </c>
      <c r="E1822" s="1137" t="s">
        <v>5002</v>
      </c>
      <c r="F1822" s="1129" t="s">
        <v>5001</v>
      </c>
      <c r="G1822" s="354"/>
      <c r="H1822" s="456"/>
      <c r="I1822" s="456"/>
      <c r="J1822" s="455"/>
      <c r="K1822" s="455"/>
      <c r="L1822" s="457">
        <v>1637</v>
      </c>
      <c r="M1822" s="768">
        <f t="shared" si="164"/>
        <v>1637</v>
      </c>
      <c r="N1822" s="1137" t="s">
        <v>517</v>
      </c>
      <c r="O1822" s="1137"/>
      <c r="P1822" s="1136"/>
      <c r="Q1822" s="223"/>
      <c r="R1822" s="223"/>
      <c r="S1822" s="928"/>
      <c r="T1822" s="928"/>
      <c r="U1822" s="928"/>
      <c r="V1822" s="14" t="s">
        <v>61</v>
      </c>
      <c r="W1822" s="10"/>
      <c r="X1822" s="16">
        <f t="shared" si="165"/>
        <v>1637</v>
      </c>
      <c r="Y1822" s="16">
        <f t="shared" si="163"/>
        <v>0</v>
      </c>
      <c r="Z1822" s="10"/>
      <c r="AA1822" s="10"/>
      <c r="AB1822" s="10"/>
    </row>
    <row r="1823" spans="1:28" s="16" customFormat="1" ht="30">
      <c r="A1823" s="236"/>
      <c r="B1823" s="844"/>
      <c r="C1823" s="69" t="s">
        <v>1053</v>
      </c>
      <c r="D1823" s="679">
        <v>40891</v>
      </c>
      <c r="E1823" s="1137" t="s">
        <v>5002</v>
      </c>
      <c r="F1823" s="1129" t="s">
        <v>5001</v>
      </c>
      <c r="G1823" s="354"/>
      <c r="H1823" s="456"/>
      <c r="I1823" s="456"/>
      <c r="J1823" s="455"/>
      <c r="K1823" s="455"/>
      <c r="L1823" s="457">
        <v>300</v>
      </c>
      <c r="M1823" s="768">
        <f t="shared" si="164"/>
        <v>300</v>
      </c>
      <c r="N1823" s="1137" t="s">
        <v>517</v>
      </c>
      <c r="O1823" s="1137"/>
      <c r="P1823" s="1136"/>
      <c r="Q1823" s="223"/>
      <c r="R1823" s="223"/>
      <c r="S1823" s="928"/>
      <c r="T1823" s="928"/>
      <c r="U1823" s="928"/>
      <c r="V1823" s="14" t="s">
        <v>61</v>
      </c>
      <c r="W1823" s="10"/>
      <c r="X1823" s="16">
        <f t="shared" si="165"/>
        <v>300</v>
      </c>
      <c r="Y1823" s="16">
        <f t="shared" si="163"/>
        <v>0</v>
      </c>
      <c r="Z1823" s="10"/>
      <c r="AA1823" s="10"/>
      <c r="AB1823" s="10"/>
    </row>
    <row r="1824" spans="1:28" s="16" customFormat="1" ht="30">
      <c r="A1824" s="236"/>
      <c r="B1824" s="844"/>
      <c r="C1824" s="69" t="s">
        <v>1054</v>
      </c>
      <c r="D1824" s="679">
        <v>40899</v>
      </c>
      <c r="E1824" s="1137" t="s">
        <v>5002</v>
      </c>
      <c r="F1824" s="1129" t="s">
        <v>5001</v>
      </c>
      <c r="G1824" s="354"/>
      <c r="H1824" s="456"/>
      <c r="I1824" s="456"/>
      <c r="J1824" s="455"/>
      <c r="K1824" s="455"/>
      <c r="L1824" s="457">
        <v>5000</v>
      </c>
      <c r="M1824" s="768">
        <f t="shared" si="164"/>
        <v>5000</v>
      </c>
      <c r="N1824" s="1137" t="s">
        <v>517</v>
      </c>
      <c r="O1824" s="1137"/>
      <c r="P1824" s="1136"/>
      <c r="Q1824" s="223"/>
      <c r="R1824" s="223"/>
      <c r="S1824" s="928"/>
      <c r="T1824" s="928"/>
      <c r="U1824" s="928"/>
      <c r="V1824" s="14" t="s">
        <v>61</v>
      </c>
      <c r="W1824" s="10"/>
      <c r="X1824" s="16">
        <f t="shared" si="165"/>
        <v>5000</v>
      </c>
      <c r="Y1824" s="16">
        <f t="shared" si="163"/>
        <v>0</v>
      </c>
      <c r="Z1824" s="10"/>
      <c r="AA1824" s="10"/>
      <c r="AB1824" s="10"/>
    </row>
    <row r="1825" spans="1:28" s="16" customFormat="1" ht="30">
      <c r="A1825" s="236"/>
      <c r="B1825" s="844"/>
      <c r="C1825" s="69" t="s">
        <v>1055</v>
      </c>
      <c r="D1825" s="679">
        <v>40899</v>
      </c>
      <c r="E1825" s="1137" t="s">
        <v>5002</v>
      </c>
      <c r="F1825" s="1129" t="s">
        <v>5001</v>
      </c>
      <c r="G1825" s="354"/>
      <c r="H1825" s="456"/>
      <c r="I1825" s="456"/>
      <c r="J1825" s="455"/>
      <c r="K1825" s="455"/>
      <c r="L1825" s="457">
        <v>5000</v>
      </c>
      <c r="M1825" s="768">
        <f t="shared" si="164"/>
        <v>5000</v>
      </c>
      <c r="N1825" s="1137" t="s">
        <v>517</v>
      </c>
      <c r="O1825" s="1137"/>
      <c r="P1825" s="1136"/>
      <c r="Q1825" s="223"/>
      <c r="R1825" s="223"/>
      <c r="S1825" s="928"/>
      <c r="T1825" s="928"/>
      <c r="U1825" s="928"/>
      <c r="V1825" s="14" t="s">
        <v>61</v>
      </c>
      <c r="W1825" s="10"/>
      <c r="X1825" s="16">
        <f t="shared" si="165"/>
        <v>5000</v>
      </c>
      <c r="Y1825" s="16">
        <f t="shared" si="163"/>
        <v>0</v>
      </c>
      <c r="Z1825" s="10"/>
      <c r="AA1825" s="10"/>
      <c r="AB1825" s="10"/>
    </row>
    <row r="1826" spans="1:28" s="16" customFormat="1" ht="30">
      <c r="A1826" s="236"/>
      <c r="B1826" s="844"/>
      <c r="C1826" s="69" t="s">
        <v>1056</v>
      </c>
      <c r="D1826" s="679">
        <v>40899</v>
      </c>
      <c r="E1826" s="1137" t="s">
        <v>5002</v>
      </c>
      <c r="F1826" s="1129" t="s">
        <v>5001</v>
      </c>
      <c r="G1826" s="354"/>
      <c r="H1826" s="456"/>
      <c r="I1826" s="456"/>
      <c r="J1826" s="455"/>
      <c r="K1826" s="455"/>
      <c r="L1826" s="457">
        <v>20000</v>
      </c>
      <c r="M1826" s="768">
        <f t="shared" si="164"/>
        <v>20000</v>
      </c>
      <c r="N1826" s="1137" t="s">
        <v>517</v>
      </c>
      <c r="O1826" s="1137"/>
      <c r="P1826" s="1136"/>
      <c r="Q1826" s="223"/>
      <c r="R1826" s="223"/>
      <c r="S1826" s="928"/>
      <c r="T1826" s="928"/>
      <c r="U1826" s="928"/>
      <c r="V1826" s="14" t="s">
        <v>61</v>
      </c>
      <c r="W1826" s="10"/>
      <c r="X1826" s="16">
        <f t="shared" si="165"/>
        <v>20000</v>
      </c>
      <c r="Y1826" s="16">
        <f t="shared" si="163"/>
        <v>0</v>
      </c>
      <c r="Z1826" s="10"/>
      <c r="AA1826" s="10"/>
      <c r="AB1826" s="10"/>
    </row>
    <row r="1827" spans="1:28" s="16" customFormat="1" ht="30">
      <c r="A1827" s="236"/>
      <c r="B1827" s="844"/>
      <c r="C1827" s="69" t="s">
        <v>1057</v>
      </c>
      <c r="D1827" s="679">
        <v>40899</v>
      </c>
      <c r="E1827" s="1137" t="s">
        <v>5002</v>
      </c>
      <c r="F1827" s="1129" t="s">
        <v>5001</v>
      </c>
      <c r="G1827" s="354"/>
      <c r="H1827" s="456"/>
      <c r="I1827" s="456"/>
      <c r="J1827" s="455"/>
      <c r="K1827" s="455"/>
      <c r="L1827" s="457">
        <v>3000</v>
      </c>
      <c r="M1827" s="768">
        <f t="shared" si="164"/>
        <v>3000</v>
      </c>
      <c r="N1827" s="1137" t="s">
        <v>517</v>
      </c>
      <c r="O1827" s="1137"/>
      <c r="P1827" s="1136"/>
      <c r="Q1827" s="223"/>
      <c r="R1827" s="223"/>
      <c r="S1827" s="928"/>
      <c r="T1827" s="928"/>
      <c r="U1827" s="928"/>
      <c r="V1827" s="14" t="s">
        <v>61</v>
      </c>
      <c r="W1827" s="10"/>
      <c r="X1827" s="16">
        <f t="shared" si="165"/>
        <v>3000</v>
      </c>
      <c r="Y1827" s="16">
        <f t="shared" si="163"/>
        <v>0</v>
      </c>
      <c r="Z1827" s="10"/>
      <c r="AA1827" s="10"/>
      <c r="AB1827" s="10"/>
    </row>
    <row r="1828" spans="1:28" s="16" customFormat="1" ht="30">
      <c r="A1828" s="236"/>
      <c r="B1828" s="844"/>
      <c r="C1828" s="69" t="s">
        <v>1058</v>
      </c>
      <c r="D1828" s="679">
        <v>40899</v>
      </c>
      <c r="E1828" s="1137" t="s">
        <v>5002</v>
      </c>
      <c r="F1828" s="1129" t="s">
        <v>5001</v>
      </c>
      <c r="G1828" s="354"/>
      <c r="H1828" s="456"/>
      <c r="I1828" s="456"/>
      <c r="J1828" s="455"/>
      <c r="K1828" s="455"/>
      <c r="L1828" s="457">
        <v>20000</v>
      </c>
      <c r="M1828" s="768">
        <f t="shared" si="164"/>
        <v>20000</v>
      </c>
      <c r="N1828" s="1137" t="s">
        <v>517</v>
      </c>
      <c r="O1828" s="1137"/>
      <c r="P1828" s="1136"/>
      <c r="Q1828" s="223"/>
      <c r="R1828" s="223"/>
      <c r="S1828" s="928"/>
      <c r="T1828" s="928"/>
      <c r="U1828" s="928"/>
      <c r="V1828" s="14" t="s">
        <v>61</v>
      </c>
      <c r="W1828" s="10"/>
      <c r="X1828" s="16">
        <f t="shared" si="165"/>
        <v>20000</v>
      </c>
      <c r="Y1828" s="16">
        <f t="shared" si="163"/>
        <v>0</v>
      </c>
      <c r="Z1828" s="10"/>
      <c r="AA1828" s="10"/>
      <c r="AB1828" s="10"/>
    </row>
    <row r="1829" spans="1:28" s="16" customFormat="1" ht="30">
      <c r="A1829" s="236"/>
      <c r="B1829" s="844"/>
      <c r="C1829" s="69" t="s">
        <v>1059</v>
      </c>
      <c r="D1829" s="679">
        <v>40899</v>
      </c>
      <c r="E1829" s="1137" t="s">
        <v>5002</v>
      </c>
      <c r="F1829" s="1129" t="s">
        <v>5001</v>
      </c>
      <c r="G1829" s="354"/>
      <c r="H1829" s="456"/>
      <c r="I1829" s="456"/>
      <c r="J1829" s="455"/>
      <c r="K1829" s="455"/>
      <c r="L1829" s="457">
        <v>95100</v>
      </c>
      <c r="M1829" s="768">
        <f t="shared" si="164"/>
        <v>95100</v>
      </c>
      <c r="N1829" s="1137" t="s">
        <v>517</v>
      </c>
      <c r="O1829" s="1137"/>
      <c r="P1829" s="1136"/>
      <c r="Q1829" s="223"/>
      <c r="R1829" s="223"/>
      <c r="S1829" s="928"/>
      <c r="T1829" s="928"/>
      <c r="U1829" s="928"/>
      <c r="V1829" s="14" t="s">
        <v>61</v>
      </c>
      <c r="W1829" s="10"/>
      <c r="X1829" s="16">
        <f t="shared" si="165"/>
        <v>95100</v>
      </c>
      <c r="Y1829" s="16">
        <f t="shared" si="163"/>
        <v>0</v>
      </c>
      <c r="Z1829" s="10"/>
      <c r="AA1829" s="10"/>
      <c r="AB1829" s="10"/>
    </row>
    <row r="1830" spans="1:28" s="16" customFormat="1" ht="30">
      <c r="A1830" s="236"/>
      <c r="B1830" s="844"/>
      <c r="C1830" s="69" t="s">
        <v>1060</v>
      </c>
      <c r="D1830" s="679">
        <v>40898</v>
      </c>
      <c r="E1830" s="1137" t="s">
        <v>5002</v>
      </c>
      <c r="F1830" s="1129" t="s">
        <v>5001</v>
      </c>
      <c r="G1830" s="354"/>
      <c r="H1830" s="456"/>
      <c r="I1830" s="456"/>
      <c r="J1830" s="455"/>
      <c r="K1830" s="455"/>
      <c r="L1830" s="457">
        <v>2000</v>
      </c>
      <c r="M1830" s="768">
        <f t="shared" si="164"/>
        <v>2000</v>
      </c>
      <c r="N1830" s="1137" t="s">
        <v>517</v>
      </c>
      <c r="O1830" s="1137"/>
      <c r="P1830" s="1136"/>
      <c r="Q1830" s="223"/>
      <c r="R1830" s="223"/>
      <c r="S1830" s="928"/>
      <c r="T1830" s="928"/>
      <c r="U1830" s="928"/>
      <c r="V1830" s="14" t="s">
        <v>61</v>
      </c>
      <c r="W1830" s="10"/>
      <c r="X1830" s="16">
        <f t="shared" si="165"/>
        <v>2000</v>
      </c>
      <c r="Y1830" s="16">
        <f t="shared" si="163"/>
        <v>0</v>
      </c>
      <c r="Z1830" s="10"/>
      <c r="AA1830" s="10"/>
      <c r="AB1830" s="10"/>
    </row>
    <row r="1831" spans="1:28" s="16" customFormat="1" ht="30">
      <c r="A1831" s="236"/>
      <c r="B1831" s="844"/>
      <c r="C1831" s="69" t="s">
        <v>1061</v>
      </c>
      <c r="D1831" s="679">
        <v>40898</v>
      </c>
      <c r="E1831" s="1137" t="s">
        <v>5002</v>
      </c>
      <c r="F1831" s="1129" t="s">
        <v>5001</v>
      </c>
      <c r="G1831" s="354"/>
      <c r="H1831" s="456"/>
      <c r="I1831" s="456"/>
      <c r="J1831" s="455"/>
      <c r="K1831" s="455"/>
      <c r="L1831" s="457">
        <v>10000</v>
      </c>
      <c r="M1831" s="768">
        <f t="shared" si="164"/>
        <v>10000</v>
      </c>
      <c r="N1831" s="1137" t="s">
        <v>517</v>
      </c>
      <c r="O1831" s="1137"/>
      <c r="P1831" s="1136"/>
      <c r="Q1831" s="223"/>
      <c r="R1831" s="223"/>
      <c r="S1831" s="928"/>
      <c r="T1831" s="928"/>
      <c r="U1831" s="928"/>
      <c r="V1831" s="14" t="s">
        <v>61</v>
      </c>
      <c r="W1831" s="10"/>
      <c r="X1831" s="16">
        <f t="shared" si="165"/>
        <v>10000</v>
      </c>
      <c r="Y1831" s="16">
        <f t="shared" si="163"/>
        <v>0</v>
      </c>
      <c r="Z1831" s="10"/>
      <c r="AA1831" s="10"/>
      <c r="AB1831" s="10"/>
    </row>
    <row r="1832" spans="1:28" s="16" customFormat="1" ht="30">
      <c r="A1832" s="236"/>
      <c r="B1832" s="844"/>
      <c r="C1832" s="69" t="s">
        <v>1062</v>
      </c>
      <c r="D1832" s="679">
        <v>40898</v>
      </c>
      <c r="E1832" s="1137" t="s">
        <v>5002</v>
      </c>
      <c r="F1832" s="1129" t="s">
        <v>5001</v>
      </c>
      <c r="G1832" s="354"/>
      <c r="H1832" s="456"/>
      <c r="I1832" s="456"/>
      <c r="J1832" s="455"/>
      <c r="K1832" s="455"/>
      <c r="L1832" s="457">
        <v>20000</v>
      </c>
      <c r="M1832" s="768">
        <f t="shared" si="164"/>
        <v>20000</v>
      </c>
      <c r="N1832" s="1137" t="s">
        <v>517</v>
      </c>
      <c r="O1832" s="1137"/>
      <c r="P1832" s="1136"/>
      <c r="Q1832" s="223"/>
      <c r="R1832" s="223"/>
      <c r="S1832" s="928"/>
      <c r="T1832" s="928"/>
      <c r="U1832" s="928"/>
      <c r="V1832" s="14" t="s">
        <v>61</v>
      </c>
      <c r="W1832" s="10"/>
      <c r="X1832" s="16">
        <f t="shared" si="165"/>
        <v>20000</v>
      </c>
      <c r="Y1832" s="16">
        <f t="shared" si="163"/>
        <v>0</v>
      </c>
      <c r="Z1832" s="10"/>
      <c r="AA1832" s="10"/>
      <c r="AB1832" s="10"/>
    </row>
    <row r="1833" spans="1:28" s="16" customFormat="1" ht="30">
      <c r="A1833" s="236"/>
      <c r="B1833" s="844"/>
      <c r="C1833" s="69" t="s">
        <v>1063</v>
      </c>
      <c r="D1833" s="679">
        <v>40898</v>
      </c>
      <c r="E1833" s="1137" t="s">
        <v>5002</v>
      </c>
      <c r="F1833" s="1129" t="s">
        <v>5001</v>
      </c>
      <c r="G1833" s="354"/>
      <c r="H1833" s="456"/>
      <c r="I1833" s="456"/>
      <c r="J1833" s="455"/>
      <c r="K1833" s="455"/>
      <c r="L1833" s="457">
        <v>1000</v>
      </c>
      <c r="M1833" s="768">
        <f t="shared" si="164"/>
        <v>1000</v>
      </c>
      <c r="N1833" s="1137" t="s">
        <v>517</v>
      </c>
      <c r="O1833" s="1137"/>
      <c r="P1833" s="1136"/>
      <c r="Q1833" s="223"/>
      <c r="R1833" s="223"/>
      <c r="S1833" s="928"/>
      <c r="T1833" s="928"/>
      <c r="U1833" s="928"/>
      <c r="V1833" s="14" t="s">
        <v>61</v>
      </c>
      <c r="W1833" s="10"/>
      <c r="X1833" s="16">
        <f t="shared" si="165"/>
        <v>1000</v>
      </c>
      <c r="Y1833" s="16">
        <f t="shared" si="163"/>
        <v>0</v>
      </c>
      <c r="Z1833" s="10"/>
      <c r="AA1833" s="10"/>
      <c r="AB1833" s="10"/>
    </row>
    <row r="1834" spans="1:28" s="16" customFormat="1" ht="30">
      <c r="A1834" s="236"/>
      <c r="B1834" s="844"/>
      <c r="C1834" s="69" t="s">
        <v>1064</v>
      </c>
      <c r="D1834" s="679">
        <v>40898</v>
      </c>
      <c r="E1834" s="1137" t="s">
        <v>5002</v>
      </c>
      <c r="F1834" s="1129" t="s">
        <v>5001</v>
      </c>
      <c r="G1834" s="354"/>
      <c r="H1834" s="456"/>
      <c r="I1834" s="456"/>
      <c r="J1834" s="455"/>
      <c r="K1834" s="455"/>
      <c r="L1834" s="457">
        <v>1000</v>
      </c>
      <c r="M1834" s="768">
        <f t="shared" si="164"/>
        <v>1000</v>
      </c>
      <c r="N1834" s="1137" t="s">
        <v>517</v>
      </c>
      <c r="O1834" s="1137"/>
      <c r="P1834" s="1136"/>
      <c r="Q1834" s="223"/>
      <c r="R1834" s="223"/>
      <c r="S1834" s="928"/>
      <c r="T1834" s="928"/>
      <c r="U1834" s="928"/>
      <c r="V1834" s="14" t="s">
        <v>61</v>
      </c>
      <c r="W1834" s="10"/>
      <c r="X1834" s="16">
        <f t="shared" si="165"/>
        <v>1000</v>
      </c>
      <c r="Y1834" s="16">
        <f t="shared" si="163"/>
        <v>0</v>
      </c>
      <c r="Z1834" s="10"/>
      <c r="AA1834" s="10"/>
      <c r="AB1834" s="10"/>
    </row>
    <row r="1835" spans="1:28" s="16" customFormat="1" ht="30">
      <c r="A1835" s="236"/>
      <c r="B1835" s="844"/>
      <c r="C1835" s="69" t="s">
        <v>1065</v>
      </c>
      <c r="D1835" s="679">
        <v>40898</v>
      </c>
      <c r="E1835" s="1137" t="s">
        <v>5002</v>
      </c>
      <c r="F1835" s="1129" t="s">
        <v>5001</v>
      </c>
      <c r="G1835" s="354"/>
      <c r="H1835" s="456"/>
      <c r="I1835" s="456"/>
      <c r="J1835" s="455"/>
      <c r="K1835" s="455"/>
      <c r="L1835" s="457">
        <v>1000</v>
      </c>
      <c r="M1835" s="768">
        <f t="shared" si="164"/>
        <v>1000</v>
      </c>
      <c r="N1835" s="1137" t="s">
        <v>517</v>
      </c>
      <c r="O1835" s="1137"/>
      <c r="P1835" s="1136"/>
      <c r="Q1835" s="223"/>
      <c r="R1835" s="223"/>
      <c r="S1835" s="928"/>
      <c r="T1835" s="928"/>
      <c r="U1835" s="928"/>
      <c r="V1835" s="14" t="s">
        <v>61</v>
      </c>
      <c r="W1835" s="10"/>
      <c r="X1835" s="16">
        <f t="shared" si="165"/>
        <v>1000</v>
      </c>
      <c r="Y1835" s="16">
        <f t="shared" si="163"/>
        <v>0</v>
      </c>
      <c r="Z1835" s="10"/>
      <c r="AA1835" s="10"/>
      <c r="AB1835" s="10"/>
    </row>
    <row r="1836" spans="1:28" s="16" customFormat="1" ht="30">
      <c r="A1836" s="236"/>
      <c r="B1836" s="844"/>
      <c r="C1836" s="69" t="s">
        <v>1066</v>
      </c>
      <c r="D1836" s="679">
        <v>40898</v>
      </c>
      <c r="E1836" s="1137" t="s">
        <v>5002</v>
      </c>
      <c r="F1836" s="1129" t="s">
        <v>5001</v>
      </c>
      <c r="G1836" s="354"/>
      <c r="H1836" s="456"/>
      <c r="I1836" s="456"/>
      <c r="J1836" s="455"/>
      <c r="K1836" s="455"/>
      <c r="L1836" s="457">
        <v>2000</v>
      </c>
      <c r="M1836" s="768">
        <f t="shared" si="164"/>
        <v>2000</v>
      </c>
      <c r="N1836" s="1137" t="s">
        <v>517</v>
      </c>
      <c r="O1836" s="1137"/>
      <c r="P1836" s="1136"/>
      <c r="Q1836" s="223"/>
      <c r="R1836" s="223"/>
      <c r="S1836" s="928"/>
      <c r="T1836" s="928"/>
      <c r="U1836" s="928"/>
      <c r="V1836" s="14" t="s">
        <v>61</v>
      </c>
      <c r="W1836" s="10"/>
      <c r="X1836" s="16">
        <f t="shared" si="165"/>
        <v>2000</v>
      </c>
      <c r="Y1836" s="16">
        <f t="shared" si="163"/>
        <v>0</v>
      </c>
      <c r="Z1836" s="10"/>
      <c r="AA1836" s="10"/>
      <c r="AB1836" s="10"/>
    </row>
    <row r="1837" spans="1:28" s="16" customFormat="1" ht="30">
      <c r="A1837" s="236"/>
      <c r="B1837" s="844"/>
      <c r="C1837" s="69" t="s">
        <v>1067</v>
      </c>
      <c r="D1837" s="679">
        <v>40897</v>
      </c>
      <c r="E1837" s="1137" t="s">
        <v>5002</v>
      </c>
      <c r="F1837" s="1129" t="s">
        <v>5001</v>
      </c>
      <c r="G1837" s="354"/>
      <c r="H1837" s="456"/>
      <c r="I1837" s="456"/>
      <c r="J1837" s="455"/>
      <c r="K1837" s="455"/>
      <c r="L1837" s="457">
        <v>10000</v>
      </c>
      <c r="M1837" s="768">
        <f t="shared" si="164"/>
        <v>10000</v>
      </c>
      <c r="N1837" s="1137" t="s">
        <v>517</v>
      </c>
      <c r="O1837" s="1137"/>
      <c r="P1837" s="1136"/>
      <c r="Q1837" s="223"/>
      <c r="R1837" s="223"/>
      <c r="S1837" s="928"/>
      <c r="T1837" s="928"/>
      <c r="U1837" s="928"/>
      <c r="V1837" s="14" t="s">
        <v>61</v>
      </c>
      <c r="W1837" s="10"/>
      <c r="X1837" s="16">
        <f t="shared" si="165"/>
        <v>10000</v>
      </c>
      <c r="Y1837" s="16">
        <f t="shared" si="163"/>
        <v>0</v>
      </c>
      <c r="Z1837" s="10"/>
      <c r="AA1837" s="10"/>
      <c r="AB1837" s="10"/>
    </row>
    <row r="1838" spans="1:28" s="16" customFormat="1" ht="30">
      <c r="A1838" s="236"/>
      <c r="B1838" s="844"/>
      <c r="C1838" s="69" t="s">
        <v>1068</v>
      </c>
      <c r="D1838" s="679">
        <v>40899</v>
      </c>
      <c r="E1838" s="1137" t="s">
        <v>5002</v>
      </c>
      <c r="F1838" s="1129" t="s">
        <v>5001</v>
      </c>
      <c r="G1838" s="354"/>
      <c r="H1838" s="456"/>
      <c r="I1838" s="456"/>
      <c r="J1838" s="455"/>
      <c r="K1838" s="455"/>
      <c r="L1838" s="457">
        <v>7500</v>
      </c>
      <c r="M1838" s="768">
        <f t="shared" si="164"/>
        <v>7500</v>
      </c>
      <c r="N1838" s="1137" t="s">
        <v>517</v>
      </c>
      <c r="O1838" s="1137"/>
      <c r="P1838" s="1136"/>
      <c r="Q1838" s="223"/>
      <c r="R1838" s="223"/>
      <c r="S1838" s="928"/>
      <c r="T1838" s="928"/>
      <c r="U1838" s="928"/>
      <c r="V1838" s="14" t="s">
        <v>61</v>
      </c>
      <c r="W1838" s="10"/>
      <c r="X1838" s="16">
        <f t="shared" si="165"/>
        <v>7500</v>
      </c>
      <c r="Y1838" s="16">
        <f t="shared" si="163"/>
        <v>0</v>
      </c>
      <c r="Z1838" s="10"/>
      <c r="AA1838" s="10"/>
      <c r="AB1838" s="10"/>
    </row>
    <row r="1839" spans="1:28" s="16" customFormat="1" ht="30">
      <c r="A1839" s="236"/>
      <c r="B1839" s="844"/>
      <c r="C1839" s="69" t="s">
        <v>1069</v>
      </c>
      <c r="D1839" s="679">
        <v>40899</v>
      </c>
      <c r="E1839" s="1137" t="s">
        <v>5002</v>
      </c>
      <c r="F1839" s="1129" t="s">
        <v>5001</v>
      </c>
      <c r="G1839" s="354"/>
      <c r="H1839" s="456"/>
      <c r="I1839" s="456"/>
      <c r="J1839" s="455"/>
      <c r="K1839" s="455"/>
      <c r="L1839" s="457">
        <v>2000</v>
      </c>
      <c r="M1839" s="768">
        <f t="shared" si="164"/>
        <v>2000</v>
      </c>
      <c r="N1839" s="1137" t="s">
        <v>517</v>
      </c>
      <c r="O1839" s="1137"/>
      <c r="P1839" s="1136"/>
      <c r="Q1839" s="223"/>
      <c r="R1839" s="223"/>
      <c r="S1839" s="928"/>
      <c r="T1839" s="928"/>
      <c r="U1839" s="928"/>
      <c r="V1839" s="14" t="s">
        <v>61</v>
      </c>
      <c r="W1839" s="10"/>
      <c r="X1839" s="16">
        <f t="shared" si="165"/>
        <v>2000</v>
      </c>
      <c r="Y1839" s="16">
        <f t="shared" si="163"/>
        <v>0</v>
      </c>
      <c r="Z1839" s="10"/>
      <c r="AA1839" s="10"/>
      <c r="AB1839" s="10"/>
    </row>
    <row r="1840" spans="1:28" s="16" customFormat="1" ht="30">
      <c r="A1840" s="236"/>
      <c r="B1840" s="844"/>
      <c r="C1840" s="69" t="s">
        <v>1070</v>
      </c>
      <c r="D1840" s="679">
        <v>40899</v>
      </c>
      <c r="E1840" s="1137" t="s">
        <v>5002</v>
      </c>
      <c r="F1840" s="1129" t="s">
        <v>5001</v>
      </c>
      <c r="G1840" s="354"/>
      <c r="H1840" s="456"/>
      <c r="I1840" s="456"/>
      <c r="J1840" s="455"/>
      <c r="K1840" s="455"/>
      <c r="L1840" s="457">
        <v>7500</v>
      </c>
      <c r="M1840" s="768">
        <f t="shared" si="164"/>
        <v>7500</v>
      </c>
      <c r="N1840" s="1137" t="s">
        <v>517</v>
      </c>
      <c r="O1840" s="1137"/>
      <c r="P1840" s="1136"/>
      <c r="Q1840" s="223"/>
      <c r="R1840" s="223"/>
      <c r="S1840" s="928"/>
      <c r="T1840" s="928"/>
      <c r="U1840" s="928"/>
      <c r="V1840" s="14"/>
      <c r="X1840" s="16">
        <f t="shared" si="165"/>
        <v>7500</v>
      </c>
      <c r="Y1840" s="16">
        <f t="shared" ref="Y1840:Y1903" si="166">X1840-M1840</f>
        <v>0</v>
      </c>
    </row>
    <row r="1841" spans="1:25" s="16" customFormat="1" ht="15">
      <c r="A1841" s="236"/>
      <c r="B1841" s="844" t="s">
        <v>1071</v>
      </c>
      <c r="C1841" s="1137"/>
      <c r="D1841" s="13"/>
      <c r="E1841" s="1137"/>
      <c r="F1841" s="12"/>
      <c r="G1841" s="12"/>
      <c r="H1841" s="10"/>
      <c r="I1841" s="10"/>
      <c r="J1841" s="13"/>
      <c r="K1841" s="13"/>
      <c r="L1841" s="10"/>
      <c r="M1841" s="10"/>
      <c r="N1841" s="1137"/>
      <c r="O1841" s="1137"/>
      <c r="P1841" s="179"/>
      <c r="Q1841" s="223"/>
      <c r="R1841" s="223"/>
      <c r="S1841" s="928"/>
      <c r="T1841" s="928"/>
      <c r="U1841" s="928"/>
      <c r="V1841" s="14" t="s">
        <v>61</v>
      </c>
      <c r="X1841" s="16">
        <f t="shared" si="165"/>
        <v>0</v>
      </c>
      <c r="Y1841" s="16">
        <f t="shared" si="166"/>
        <v>0</v>
      </c>
    </row>
    <row r="1842" spans="1:25" s="16" customFormat="1" ht="15">
      <c r="A1842" s="236"/>
      <c r="B1842" s="86" t="s">
        <v>28</v>
      </c>
      <c r="C1842" s="1137"/>
      <c r="D1842" s="13"/>
      <c r="E1842" s="58"/>
      <c r="F1842" s="12"/>
      <c r="G1842" s="12"/>
      <c r="H1842" s="10"/>
      <c r="I1842" s="10"/>
      <c r="J1842" s="147">
        <f t="shared" ref="J1842:K1842" si="167">SUM(J1843:J1870)</f>
        <v>0</v>
      </c>
      <c r="K1842" s="147">
        <f t="shared" si="167"/>
        <v>0</v>
      </c>
      <c r="L1842" s="147">
        <f>SUM(L1843:L1870)</f>
        <v>410400</v>
      </c>
      <c r="M1842" s="147">
        <f>SUM(M1843:M1870)</f>
        <v>410400</v>
      </c>
      <c r="N1842" s="1137"/>
      <c r="O1842" s="1137"/>
      <c r="P1842" s="179"/>
      <c r="Q1842" s="7">
        <f t="shared" ref="Q1842:R1842" si="168">SUM(Q1843:Q1870)</f>
        <v>0</v>
      </c>
      <c r="R1842" s="7">
        <f t="shared" si="168"/>
        <v>0</v>
      </c>
      <c r="S1842" s="928"/>
      <c r="T1842" s="928"/>
      <c r="U1842" s="928"/>
      <c r="V1842" s="14" t="s">
        <v>61</v>
      </c>
      <c r="X1842" s="16">
        <f t="shared" si="165"/>
        <v>410400</v>
      </c>
      <c r="Y1842" s="16">
        <f t="shared" si="166"/>
        <v>0</v>
      </c>
    </row>
    <row r="1843" spans="1:25" s="16" customFormat="1" ht="30">
      <c r="A1843" s="236"/>
      <c r="B1843" s="72"/>
      <c r="C1843" s="69" t="s">
        <v>1072</v>
      </c>
      <c r="D1843" s="13">
        <v>40962</v>
      </c>
      <c r="E1843" s="1137" t="s">
        <v>5002</v>
      </c>
      <c r="F1843" s="1129" t="s">
        <v>5001</v>
      </c>
      <c r="G1843" s="72"/>
      <c r="H1843" s="90"/>
      <c r="I1843" s="90"/>
      <c r="J1843" s="13"/>
      <c r="K1843" s="13"/>
      <c r="L1843" s="90">
        <v>1400</v>
      </c>
      <c r="M1843" s="67">
        <f>SUM(J1843:L1843)</f>
        <v>1400</v>
      </c>
      <c r="N1843" s="1137" t="s">
        <v>517</v>
      </c>
      <c r="O1843" s="1137"/>
      <c r="P1843" s="179"/>
      <c r="Q1843" s="223"/>
      <c r="R1843" s="223"/>
      <c r="S1843" s="928"/>
      <c r="T1843" s="928"/>
      <c r="U1843" s="928"/>
      <c r="V1843" s="14" t="s">
        <v>61</v>
      </c>
      <c r="X1843" s="16">
        <f t="shared" si="165"/>
        <v>1400</v>
      </c>
      <c r="Y1843" s="16">
        <f t="shared" si="166"/>
        <v>0</v>
      </c>
    </row>
    <row r="1844" spans="1:25" s="16" customFormat="1" ht="30">
      <c r="A1844" s="236"/>
      <c r="B1844" s="10"/>
      <c r="C1844" s="69" t="s">
        <v>1073</v>
      </c>
      <c r="D1844" s="13">
        <v>40962</v>
      </c>
      <c r="E1844" s="1137" t="s">
        <v>5002</v>
      </c>
      <c r="F1844" s="1129" t="s">
        <v>5001</v>
      </c>
      <c r="G1844" s="12"/>
      <c r="H1844" s="90"/>
      <c r="I1844" s="90"/>
      <c r="J1844" s="13"/>
      <c r="K1844" s="13"/>
      <c r="L1844" s="90">
        <v>1000</v>
      </c>
      <c r="M1844" s="67">
        <f t="shared" ref="M1844:M1870" si="169">SUM(J1844:L1844)</f>
        <v>1000</v>
      </c>
      <c r="N1844" s="1137" t="s">
        <v>517</v>
      </c>
      <c r="O1844" s="1137"/>
      <c r="P1844" s="179"/>
      <c r="Q1844" s="223"/>
      <c r="R1844" s="223"/>
      <c r="S1844" s="928"/>
      <c r="T1844" s="928"/>
      <c r="U1844" s="928"/>
      <c r="V1844" s="14" t="s">
        <v>61</v>
      </c>
      <c r="X1844" s="16">
        <f t="shared" si="165"/>
        <v>1000</v>
      </c>
      <c r="Y1844" s="16">
        <f t="shared" si="166"/>
        <v>0</v>
      </c>
    </row>
    <row r="1845" spans="1:25" s="16" customFormat="1" ht="30">
      <c r="A1845" s="236"/>
      <c r="B1845" s="10"/>
      <c r="C1845" s="69" t="s">
        <v>1074</v>
      </c>
      <c r="D1845" s="13">
        <v>40962</v>
      </c>
      <c r="E1845" s="1137" t="s">
        <v>5002</v>
      </c>
      <c r="F1845" s="1129" t="s">
        <v>5001</v>
      </c>
      <c r="G1845" s="12"/>
      <c r="H1845" s="90"/>
      <c r="I1845" s="90"/>
      <c r="J1845" s="13"/>
      <c r="K1845" s="13"/>
      <c r="L1845" s="90">
        <v>7000</v>
      </c>
      <c r="M1845" s="67">
        <f t="shared" si="169"/>
        <v>7000</v>
      </c>
      <c r="N1845" s="1137" t="s">
        <v>517</v>
      </c>
      <c r="O1845" s="1137"/>
      <c r="P1845" s="179"/>
      <c r="Q1845" s="223"/>
      <c r="R1845" s="223"/>
      <c r="S1845" s="928"/>
      <c r="T1845" s="928"/>
      <c r="U1845" s="928"/>
      <c r="V1845" s="14" t="s">
        <v>61</v>
      </c>
      <c r="X1845" s="16">
        <f t="shared" si="165"/>
        <v>7000</v>
      </c>
      <c r="Y1845" s="16">
        <f t="shared" si="166"/>
        <v>0</v>
      </c>
    </row>
    <row r="1846" spans="1:25" s="16" customFormat="1" ht="30">
      <c r="A1846" s="236"/>
      <c r="B1846" s="10"/>
      <c r="C1846" s="69" t="s">
        <v>1075</v>
      </c>
      <c r="D1846" s="13">
        <v>40962</v>
      </c>
      <c r="E1846" s="1137" t="s">
        <v>5002</v>
      </c>
      <c r="F1846" s="1129" t="s">
        <v>5001</v>
      </c>
      <c r="G1846" s="12"/>
      <c r="H1846" s="90"/>
      <c r="I1846" s="90"/>
      <c r="J1846" s="13"/>
      <c r="K1846" s="13"/>
      <c r="L1846" s="90">
        <v>25000</v>
      </c>
      <c r="M1846" s="67">
        <f t="shared" si="169"/>
        <v>25000</v>
      </c>
      <c r="N1846" s="1137" t="s">
        <v>517</v>
      </c>
      <c r="O1846" s="1137"/>
      <c r="P1846" s="179"/>
      <c r="Q1846" s="223"/>
      <c r="R1846" s="223"/>
      <c r="S1846" s="928"/>
      <c r="T1846" s="928"/>
      <c r="U1846" s="928"/>
      <c r="V1846" s="14" t="s">
        <v>61</v>
      </c>
      <c r="X1846" s="16">
        <f t="shared" si="165"/>
        <v>25000</v>
      </c>
      <c r="Y1846" s="16">
        <f t="shared" si="166"/>
        <v>0</v>
      </c>
    </row>
    <row r="1847" spans="1:25" s="16" customFormat="1" ht="30">
      <c r="A1847" s="236"/>
      <c r="B1847" s="10"/>
      <c r="C1847" s="69" t="s">
        <v>1076</v>
      </c>
      <c r="D1847" s="13">
        <v>40962</v>
      </c>
      <c r="E1847" s="1137" t="s">
        <v>5002</v>
      </c>
      <c r="F1847" s="1129" t="s">
        <v>5001</v>
      </c>
      <c r="G1847" s="12"/>
      <c r="H1847" s="90"/>
      <c r="I1847" s="90"/>
      <c r="J1847" s="13"/>
      <c r="K1847" s="13"/>
      <c r="L1847" s="90">
        <v>5000</v>
      </c>
      <c r="M1847" s="67">
        <f t="shared" si="169"/>
        <v>5000</v>
      </c>
      <c r="N1847" s="1137" t="s">
        <v>517</v>
      </c>
      <c r="O1847" s="1137"/>
      <c r="P1847" s="179"/>
      <c r="Q1847" s="223"/>
      <c r="R1847" s="223"/>
      <c r="S1847" s="928"/>
      <c r="T1847" s="928"/>
      <c r="U1847" s="928"/>
      <c r="V1847" s="14" t="s">
        <v>61</v>
      </c>
      <c r="X1847" s="16">
        <f t="shared" si="165"/>
        <v>5000</v>
      </c>
      <c r="Y1847" s="16">
        <f t="shared" si="166"/>
        <v>0</v>
      </c>
    </row>
    <row r="1848" spans="1:25" s="16" customFormat="1" ht="30">
      <c r="A1848" s="236"/>
      <c r="B1848" s="401"/>
      <c r="C1848" s="69" t="s">
        <v>1077</v>
      </c>
      <c r="D1848" s="13">
        <v>40962</v>
      </c>
      <c r="E1848" s="1137" t="s">
        <v>5002</v>
      </c>
      <c r="F1848" s="1129" t="s">
        <v>5001</v>
      </c>
      <c r="H1848" s="90"/>
      <c r="I1848" s="90"/>
      <c r="J1848" s="13"/>
      <c r="K1848" s="13"/>
      <c r="L1848" s="90">
        <v>10000</v>
      </c>
      <c r="M1848" s="67">
        <f t="shared" si="169"/>
        <v>10000</v>
      </c>
      <c r="N1848" s="1137" t="s">
        <v>517</v>
      </c>
      <c r="O1848" s="1137"/>
      <c r="P1848" s="179"/>
      <c r="Q1848" s="223"/>
      <c r="R1848" s="223"/>
      <c r="S1848" s="928"/>
      <c r="T1848" s="928"/>
      <c r="U1848" s="928"/>
      <c r="V1848" s="14" t="s">
        <v>61</v>
      </c>
      <c r="X1848" s="16">
        <f t="shared" si="165"/>
        <v>10000</v>
      </c>
      <c r="Y1848" s="16">
        <f t="shared" si="166"/>
        <v>0</v>
      </c>
    </row>
    <row r="1849" spans="1:25" s="16" customFormat="1" ht="30">
      <c r="A1849" s="236"/>
      <c r="B1849" s="401"/>
      <c r="C1849" s="69" t="s">
        <v>1078</v>
      </c>
      <c r="D1849" s="13">
        <v>40962</v>
      </c>
      <c r="E1849" s="1137" t="s">
        <v>5002</v>
      </c>
      <c r="F1849" s="1129" t="s">
        <v>5001</v>
      </c>
      <c r="H1849" s="90"/>
      <c r="I1849" s="90"/>
      <c r="J1849" s="13"/>
      <c r="K1849" s="13"/>
      <c r="L1849" s="90">
        <v>5000</v>
      </c>
      <c r="M1849" s="67">
        <f t="shared" si="169"/>
        <v>5000</v>
      </c>
      <c r="N1849" s="1137" t="s">
        <v>517</v>
      </c>
      <c r="O1849" s="1137"/>
      <c r="P1849" s="179"/>
      <c r="Q1849" s="223"/>
      <c r="R1849" s="223"/>
      <c r="S1849" s="928"/>
      <c r="T1849" s="928"/>
      <c r="U1849" s="928"/>
      <c r="V1849" s="14" t="s">
        <v>61</v>
      </c>
      <c r="X1849" s="16">
        <f t="shared" si="165"/>
        <v>5000</v>
      </c>
      <c r="Y1849" s="16">
        <f t="shared" si="166"/>
        <v>0</v>
      </c>
    </row>
    <row r="1850" spans="1:25" s="16" customFormat="1" ht="30">
      <c r="A1850" s="236"/>
      <c r="B1850" s="401"/>
      <c r="C1850" s="69" t="s">
        <v>1079</v>
      </c>
      <c r="D1850" s="13">
        <v>40974</v>
      </c>
      <c r="E1850" s="1137" t="s">
        <v>5002</v>
      </c>
      <c r="F1850" s="1129" t="s">
        <v>5001</v>
      </c>
      <c r="H1850" s="90"/>
      <c r="I1850" s="90"/>
      <c r="J1850" s="13"/>
      <c r="K1850" s="13"/>
      <c r="L1850" s="90">
        <v>79000</v>
      </c>
      <c r="M1850" s="67">
        <f t="shared" si="169"/>
        <v>79000</v>
      </c>
      <c r="N1850" s="1137" t="s">
        <v>517</v>
      </c>
      <c r="O1850" s="1137"/>
      <c r="P1850" s="179"/>
      <c r="Q1850" s="223"/>
      <c r="R1850" s="223"/>
      <c r="S1850" s="928"/>
      <c r="T1850" s="928"/>
      <c r="U1850" s="928"/>
      <c r="V1850" s="14" t="s">
        <v>61</v>
      </c>
      <c r="X1850" s="16">
        <f t="shared" si="165"/>
        <v>79000</v>
      </c>
      <c r="Y1850" s="16">
        <f t="shared" si="166"/>
        <v>0</v>
      </c>
    </row>
    <row r="1851" spans="1:25" s="16" customFormat="1" ht="30">
      <c r="A1851" s="236"/>
      <c r="B1851" s="401"/>
      <c r="C1851" s="69" t="s">
        <v>1080</v>
      </c>
      <c r="D1851" s="13">
        <v>40974</v>
      </c>
      <c r="E1851" s="1137" t="s">
        <v>5002</v>
      </c>
      <c r="F1851" s="1129" t="s">
        <v>5001</v>
      </c>
      <c r="H1851" s="90"/>
      <c r="I1851" s="90"/>
      <c r="J1851" s="13"/>
      <c r="K1851" s="13"/>
      <c r="L1851" s="90">
        <v>40000</v>
      </c>
      <c r="M1851" s="67">
        <f t="shared" si="169"/>
        <v>40000</v>
      </c>
      <c r="N1851" s="1137" t="s">
        <v>517</v>
      </c>
      <c r="O1851" s="1137"/>
      <c r="P1851" s="179"/>
      <c r="Q1851" s="223"/>
      <c r="R1851" s="223"/>
      <c r="S1851" s="928"/>
      <c r="T1851" s="928"/>
      <c r="U1851" s="928"/>
      <c r="V1851" s="14" t="s">
        <v>61</v>
      </c>
      <c r="X1851" s="16">
        <f t="shared" si="165"/>
        <v>40000</v>
      </c>
      <c r="Y1851" s="16">
        <f t="shared" si="166"/>
        <v>0</v>
      </c>
    </row>
    <row r="1852" spans="1:25" s="16" customFormat="1" ht="30">
      <c r="A1852" s="236"/>
      <c r="B1852" s="401"/>
      <c r="C1852" s="69" t="s">
        <v>1081</v>
      </c>
      <c r="D1852" s="13">
        <v>40984</v>
      </c>
      <c r="E1852" s="1137" t="s">
        <v>5002</v>
      </c>
      <c r="F1852" s="1129" t="s">
        <v>5001</v>
      </c>
      <c r="H1852" s="90"/>
      <c r="I1852" s="90"/>
      <c r="J1852" s="13"/>
      <c r="K1852" s="13"/>
      <c r="L1852" s="90">
        <v>10000</v>
      </c>
      <c r="M1852" s="67">
        <f t="shared" si="169"/>
        <v>10000</v>
      </c>
      <c r="N1852" s="1137" t="s">
        <v>517</v>
      </c>
      <c r="O1852" s="1137"/>
      <c r="P1852" s="179"/>
      <c r="Q1852" s="223"/>
      <c r="R1852" s="223"/>
      <c r="S1852" s="928"/>
      <c r="T1852" s="928"/>
      <c r="U1852" s="928"/>
      <c r="V1852" s="14" t="s">
        <v>61</v>
      </c>
      <c r="X1852" s="16">
        <f t="shared" si="165"/>
        <v>10000</v>
      </c>
      <c r="Y1852" s="16">
        <f t="shared" si="166"/>
        <v>0</v>
      </c>
    </row>
    <row r="1853" spans="1:25" s="16" customFormat="1" ht="30">
      <c r="A1853" s="236"/>
      <c r="B1853" s="401"/>
      <c r="C1853" s="69" t="s">
        <v>1082</v>
      </c>
      <c r="D1853" s="13">
        <v>40994</v>
      </c>
      <c r="E1853" s="1137" t="s">
        <v>5002</v>
      </c>
      <c r="F1853" s="1129" t="s">
        <v>5001</v>
      </c>
      <c r="H1853" s="90"/>
      <c r="I1853" s="90"/>
      <c r="J1853" s="13"/>
      <c r="K1853" s="13"/>
      <c r="L1853" s="90">
        <v>12000</v>
      </c>
      <c r="M1853" s="67">
        <f t="shared" si="169"/>
        <v>12000</v>
      </c>
      <c r="N1853" s="1137" t="s">
        <v>517</v>
      </c>
      <c r="O1853" s="1137"/>
      <c r="P1853" s="179"/>
      <c r="Q1853" s="223"/>
      <c r="R1853" s="223"/>
      <c r="S1853" s="928"/>
      <c r="T1853" s="928"/>
      <c r="U1853" s="928"/>
      <c r="V1853" s="14" t="s">
        <v>61</v>
      </c>
      <c r="X1853" s="16">
        <f t="shared" si="165"/>
        <v>12000</v>
      </c>
      <c r="Y1853" s="16">
        <f t="shared" si="166"/>
        <v>0</v>
      </c>
    </row>
    <row r="1854" spans="1:25" s="16" customFormat="1" ht="30">
      <c r="A1854" s="236"/>
      <c r="B1854" s="401"/>
      <c r="C1854" s="69" t="s">
        <v>1083</v>
      </c>
      <c r="D1854" s="13">
        <v>40994</v>
      </c>
      <c r="E1854" s="1137" t="s">
        <v>5002</v>
      </c>
      <c r="F1854" s="1129" t="s">
        <v>5001</v>
      </c>
      <c r="H1854" s="90"/>
      <c r="I1854" s="90"/>
      <c r="J1854" s="13"/>
      <c r="K1854" s="13"/>
      <c r="L1854" s="90">
        <v>49000</v>
      </c>
      <c r="M1854" s="67">
        <f t="shared" si="169"/>
        <v>49000</v>
      </c>
      <c r="N1854" s="1137" t="s">
        <v>517</v>
      </c>
      <c r="O1854" s="1137"/>
      <c r="P1854" s="179"/>
      <c r="Q1854" s="223"/>
      <c r="R1854" s="223"/>
      <c r="S1854" s="928"/>
      <c r="T1854" s="928"/>
      <c r="U1854" s="928"/>
      <c r="V1854" s="14" t="s">
        <v>61</v>
      </c>
      <c r="X1854" s="16">
        <f t="shared" si="165"/>
        <v>49000</v>
      </c>
      <c r="Y1854" s="16">
        <f t="shared" si="166"/>
        <v>0</v>
      </c>
    </row>
    <row r="1855" spans="1:25" s="16" customFormat="1" ht="30">
      <c r="A1855" s="236"/>
      <c r="B1855" s="401"/>
      <c r="C1855" s="69" t="s">
        <v>1084</v>
      </c>
      <c r="D1855" s="13">
        <v>41009</v>
      </c>
      <c r="E1855" s="1137" t="s">
        <v>5002</v>
      </c>
      <c r="F1855" s="1129" t="s">
        <v>5001</v>
      </c>
      <c r="H1855" s="90"/>
      <c r="I1855" s="90"/>
      <c r="J1855" s="13"/>
      <c r="K1855" s="13"/>
      <c r="L1855" s="90">
        <v>10000</v>
      </c>
      <c r="M1855" s="67">
        <f t="shared" si="169"/>
        <v>10000</v>
      </c>
      <c r="N1855" s="1137" t="s">
        <v>517</v>
      </c>
      <c r="O1855" s="1137"/>
      <c r="P1855" s="179"/>
      <c r="Q1855" s="223"/>
      <c r="R1855" s="223"/>
      <c r="S1855" s="928"/>
      <c r="T1855" s="928"/>
      <c r="U1855" s="928"/>
      <c r="V1855" s="14" t="s">
        <v>61</v>
      </c>
      <c r="X1855" s="16">
        <f t="shared" si="165"/>
        <v>10000</v>
      </c>
      <c r="Y1855" s="16">
        <f t="shared" si="166"/>
        <v>0</v>
      </c>
    </row>
    <row r="1856" spans="1:25" s="16" customFormat="1" ht="30">
      <c r="A1856" s="236"/>
      <c r="B1856" s="401"/>
      <c r="C1856" s="69" t="s">
        <v>1085</v>
      </c>
      <c r="D1856" s="13">
        <v>41044</v>
      </c>
      <c r="E1856" s="1137" t="s">
        <v>5002</v>
      </c>
      <c r="F1856" s="1129" t="s">
        <v>5001</v>
      </c>
      <c r="H1856" s="90"/>
      <c r="I1856" s="90"/>
      <c r="J1856" s="13"/>
      <c r="K1856" s="13"/>
      <c r="L1856" s="90">
        <v>7500</v>
      </c>
      <c r="M1856" s="67">
        <f t="shared" si="169"/>
        <v>7500</v>
      </c>
      <c r="N1856" s="1137" t="s">
        <v>517</v>
      </c>
      <c r="O1856" s="1137"/>
      <c r="P1856" s="179"/>
      <c r="Q1856" s="223"/>
      <c r="R1856" s="223"/>
      <c r="S1856" s="928"/>
      <c r="T1856" s="928"/>
      <c r="U1856" s="928"/>
      <c r="V1856" s="14" t="s">
        <v>61</v>
      </c>
      <c r="X1856" s="16">
        <f t="shared" si="165"/>
        <v>7500</v>
      </c>
      <c r="Y1856" s="16">
        <f t="shared" si="166"/>
        <v>0</v>
      </c>
    </row>
    <row r="1857" spans="1:28" s="16" customFormat="1" ht="30">
      <c r="A1857" s="236"/>
      <c r="B1857" s="401"/>
      <c r="C1857" s="69" t="s">
        <v>1086</v>
      </c>
      <c r="D1857" s="13">
        <v>41047</v>
      </c>
      <c r="E1857" s="1137" t="s">
        <v>5002</v>
      </c>
      <c r="F1857" s="1129" t="s">
        <v>5001</v>
      </c>
      <c r="H1857" s="90"/>
      <c r="I1857" s="90"/>
      <c r="J1857" s="13"/>
      <c r="K1857" s="13"/>
      <c r="L1857" s="90">
        <v>5000</v>
      </c>
      <c r="M1857" s="67">
        <f t="shared" si="169"/>
        <v>5000</v>
      </c>
      <c r="N1857" s="1137" t="s">
        <v>517</v>
      </c>
      <c r="O1857" s="1137"/>
      <c r="P1857" s="179"/>
      <c r="Q1857" s="223"/>
      <c r="R1857" s="223"/>
      <c r="S1857" s="928"/>
      <c r="T1857" s="928"/>
      <c r="U1857" s="928"/>
      <c r="V1857" s="14" t="s">
        <v>61</v>
      </c>
      <c r="X1857" s="16">
        <f t="shared" si="165"/>
        <v>5000</v>
      </c>
      <c r="Y1857" s="16">
        <f t="shared" si="166"/>
        <v>0</v>
      </c>
    </row>
    <row r="1858" spans="1:28" s="16" customFormat="1" ht="30">
      <c r="A1858" s="236"/>
      <c r="B1858" s="401"/>
      <c r="C1858" s="69" t="s">
        <v>1087</v>
      </c>
      <c r="D1858" s="13">
        <v>41047</v>
      </c>
      <c r="E1858" s="1137" t="s">
        <v>5002</v>
      </c>
      <c r="F1858" s="1129" t="s">
        <v>5001</v>
      </c>
      <c r="H1858" s="90"/>
      <c r="I1858" s="90"/>
      <c r="J1858" s="13"/>
      <c r="K1858" s="13"/>
      <c r="L1858" s="90">
        <v>5000</v>
      </c>
      <c r="M1858" s="67">
        <f t="shared" si="169"/>
        <v>5000</v>
      </c>
      <c r="N1858" s="1137" t="s">
        <v>517</v>
      </c>
      <c r="O1858" s="1137"/>
      <c r="P1858" s="179"/>
      <c r="Q1858" s="223"/>
      <c r="R1858" s="223"/>
      <c r="S1858" s="928"/>
      <c r="T1858" s="928"/>
      <c r="U1858" s="928"/>
      <c r="V1858" s="14" t="s">
        <v>61</v>
      </c>
      <c r="X1858" s="16">
        <f t="shared" si="165"/>
        <v>5000</v>
      </c>
      <c r="Y1858" s="16">
        <f t="shared" si="166"/>
        <v>0</v>
      </c>
    </row>
    <row r="1859" spans="1:28" s="16" customFormat="1" ht="30">
      <c r="A1859" s="236"/>
      <c r="B1859" s="401"/>
      <c r="C1859" s="69" t="s">
        <v>1088</v>
      </c>
      <c r="D1859" s="13">
        <v>41047</v>
      </c>
      <c r="E1859" s="1137" t="s">
        <v>5002</v>
      </c>
      <c r="F1859" s="1129" t="s">
        <v>5001</v>
      </c>
      <c r="H1859" s="90"/>
      <c r="I1859" s="90"/>
      <c r="J1859" s="13"/>
      <c r="K1859" s="13"/>
      <c r="L1859" s="90">
        <v>15000</v>
      </c>
      <c r="M1859" s="67">
        <f t="shared" si="169"/>
        <v>15000</v>
      </c>
      <c r="N1859" s="1137" t="s">
        <v>517</v>
      </c>
      <c r="O1859" s="1137"/>
      <c r="P1859" s="179"/>
      <c r="Q1859" s="223"/>
      <c r="R1859" s="223"/>
      <c r="S1859" s="928"/>
      <c r="T1859" s="928"/>
      <c r="U1859" s="928"/>
      <c r="V1859" s="14" t="s">
        <v>61</v>
      </c>
      <c r="X1859" s="16">
        <f t="shared" si="165"/>
        <v>15000</v>
      </c>
      <c r="Y1859" s="16">
        <f t="shared" si="166"/>
        <v>0</v>
      </c>
    </row>
    <row r="1860" spans="1:28" s="16" customFormat="1" ht="30">
      <c r="A1860" s="236"/>
      <c r="B1860" s="401"/>
      <c r="C1860" s="69" t="s">
        <v>1089</v>
      </c>
      <c r="D1860" s="13">
        <v>41057</v>
      </c>
      <c r="E1860" s="1137" t="s">
        <v>5002</v>
      </c>
      <c r="F1860" s="1129" t="s">
        <v>5001</v>
      </c>
      <c r="H1860" s="90"/>
      <c r="I1860" s="90"/>
      <c r="J1860" s="13"/>
      <c r="K1860" s="13"/>
      <c r="L1860" s="90">
        <v>10000</v>
      </c>
      <c r="M1860" s="67">
        <f t="shared" si="169"/>
        <v>10000</v>
      </c>
      <c r="N1860" s="1137" t="s">
        <v>517</v>
      </c>
      <c r="O1860" s="1137"/>
      <c r="P1860" s="179"/>
      <c r="Q1860" s="223"/>
      <c r="R1860" s="223"/>
      <c r="S1860" s="928"/>
      <c r="T1860" s="928"/>
      <c r="U1860" s="928"/>
      <c r="V1860" s="14" t="s">
        <v>61</v>
      </c>
      <c r="X1860" s="16">
        <f t="shared" si="165"/>
        <v>10000</v>
      </c>
      <c r="Y1860" s="16">
        <f t="shared" si="166"/>
        <v>0</v>
      </c>
    </row>
    <row r="1861" spans="1:28" s="16" customFormat="1" ht="30">
      <c r="A1861" s="236"/>
      <c r="B1861" s="401"/>
      <c r="C1861" s="69" t="s">
        <v>1090</v>
      </c>
      <c r="D1861" s="13">
        <v>41057</v>
      </c>
      <c r="E1861" s="1137" t="s">
        <v>5002</v>
      </c>
      <c r="F1861" s="1129" t="s">
        <v>5001</v>
      </c>
      <c r="H1861" s="90"/>
      <c r="I1861" s="90"/>
      <c r="J1861" s="13"/>
      <c r="K1861" s="13"/>
      <c r="L1861" s="90">
        <v>10000</v>
      </c>
      <c r="M1861" s="67">
        <f t="shared" si="169"/>
        <v>10000</v>
      </c>
      <c r="N1861" s="1137" t="s">
        <v>517</v>
      </c>
      <c r="O1861" s="1137"/>
      <c r="P1861" s="179"/>
      <c r="Q1861" s="223"/>
      <c r="R1861" s="223"/>
      <c r="S1861" s="928"/>
      <c r="T1861" s="928"/>
      <c r="U1861" s="928"/>
      <c r="V1861" s="14" t="s">
        <v>61</v>
      </c>
      <c r="X1861" s="16">
        <f t="shared" si="165"/>
        <v>10000</v>
      </c>
      <c r="Y1861" s="16">
        <f t="shared" si="166"/>
        <v>0</v>
      </c>
    </row>
    <row r="1862" spans="1:28" s="16" customFormat="1" ht="30">
      <c r="A1862" s="236"/>
      <c r="B1862" s="401"/>
      <c r="C1862" s="69" t="s">
        <v>1091</v>
      </c>
      <c r="D1862" s="13">
        <v>41057</v>
      </c>
      <c r="E1862" s="1137" t="s">
        <v>5002</v>
      </c>
      <c r="F1862" s="1129" t="s">
        <v>5001</v>
      </c>
      <c r="H1862" s="90"/>
      <c r="I1862" s="90"/>
      <c r="J1862" s="13"/>
      <c r="K1862" s="13"/>
      <c r="L1862" s="90">
        <v>10000</v>
      </c>
      <c r="M1862" s="67">
        <f t="shared" si="169"/>
        <v>10000</v>
      </c>
      <c r="N1862" s="1137" t="s">
        <v>517</v>
      </c>
      <c r="O1862" s="1137"/>
      <c r="P1862" s="179"/>
      <c r="Q1862" s="223"/>
      <c r="R1862" s="223"/>
      <c r="S1862" s="928"/>
      <c r="T1862" s="928"/>
      <c r="U1862" s="928"/>
      <c r="V1862" s="14" t="s">
        <v>61</v>
      </c>
      <c r="X1862" s="16">
        <f t="shared" si="165"/>
        <v>10000</v>
      </c>
      <c r="Y1862" s="16">
        <f t="shared" si="166"/>
        <v>0</v>
      </c>
    </row>
    <row r="1863" spans="1:28" s="16" customFormat="1" ht="30">
      <c r="A1863" s="236"/>
      <c r="B1863" s="401"/>
      <c r="C1863" s="69" t="s">
        <v>1092</v>
      </c>
      <c r="D1863" s="13">
        <v>41057</v>
      </c>
      <c r="E1863" s="1137" t="s">
        <v>5002</v>
      </c>
      <c r="F1863" s="1129" t="s">
        <v>5001</v>
      </c>
      <c r="H1863" s="90"/>
      <c r="I1863" s="90"/>
      <c r="J1863" s="13"/>
      <c r="K1863" s="13"/>
      <c r="L1863" s="90">
        <v>10000</v>
      </c>
      <c r="M1863" s="67">
        <f t="shared" si="169"/>
        <v>10000</v>
      </c>
      <c r="N1863" s="1137" t="s">
        <v>517</v>
      </c>
      <c r="O1863" s="1137"/>
      <c r="P1863" s="179"/>
      <c r="Q1863" s="223"/>
      <c r="R1863" s="223"/>
      <c r="S1863" s="928"/>
      <c r="T1863" s="928"/>
      <c r="U1863" s="928"/>
      <c r="V1863" s="14" t="s">
        <v>61</v>
      </c>
      <c r="X1863" s="16">
        <f t="shared" ref="X1863:X1871" si="170">SUM(J1863:L1863)</f>
        <v>10000</v>
      </c>
      <c r="Y1863" s="16">
        <f t="shared" si="166"/>
        <v>0</v>
      </c>
    </row>
    <row r="1864" spans="1:28" s="16" customFormat="1" ht="30">
      <c r="A1864" s="236"/>
      <c r="B1864" s="10"/>
      <c r="C1864" s="69" t="s">
        <v>1093</v>
      </c>
      <c r="D1864" s="13">
        <v>41061</v>
      </c>
      <c r="E1864" s="1137" t="s">
        <v>5002</v>
      </c>
      <c r="F1864" s="1129" t="s">
        <v>5001</v>
      </c>
      <c r="G1864" s="12"/>
      <c r="H1864" s="90"/>
      <c r="I1864" s="90"/>
      <c r="J1864" s="13"/>
      <c r="K1864" s="13"/>
      <c r="L1864" s="90">
        <v>10000</v>
      </c>
      <c r="M1864" s="67">
        <f t="shared" si="169"/>
        <v>10000</v>
      </c>
      <c r="N1864" s="1137" t="s">
        <v>517</v>
      </c>
      <c r="O1864" s="1137"/>
      <c r="P1864" s="179"/>
      <c r="Q1864" s="223"/>
      <c r="R1864" s="223"/>
      <c r="S1864" s="928"/>
      <c r="T1864" s="928"/>
      <c r="U1864" s="928"/>
      <c r="V1864" s="14" t="s">
        <v>61</v>
      </c>
      <c r="X1864" s="16">
        <f t="shared" si="170"/>
        <v>10000</v>
      </c>
      <c r="Y1864" s="16">
        <f t="shared" si="166"/>
        <v>0</v>
      </c>
    </row>
    <row r="1865" spans="1:28" s="16" customFormat="1" ht="30">
      <c r="A1865" s="236"/>
      <c r="B1865" s="10"/>
      <c r="C1865" s="69" t="s">
        <v>1094</v>
      </c>
      <c r="D1865" s="13">
        <v>41089</v>
      </c>
      <c r="E1865" s="1137" t="s">
        <v>5002</v>
      </c>
      <c r="F1865" s="1129" t="s">
        <v>5001</v>
      </c>
      <c r="G1865" s="12"/>
      <c r="H1865" s="90"/>
      <c r="I1865" s="90"/>
      <c r="J1865" s="13"/>
      <c r="K1865" s="13"/>
      <c r="L1865" s="90">
        <v>10000</v>
      </c>
      <c r="M1865" s="67">
        <f t="shared" si="169"/>
        <v>10000</v>
      </c>
      <c r="N1865" s="1137" t="s">
        <v>517</v>
      </c>
      <c r="O1865" s="1137"/>
      <c r="P1865" s="179"/>
      <c r="Q1865" s="223"/>
      <c r="R1865" s="223"/>
      <c r="S1865" s="928"/>
      <c r="T1865" s="928"/>
      <c r="U1865" s="928"/>
      <c r="V1865" s="14" t="s">
        <v>61</v>
      </c>
      <c r="X1865" s="16">
        <f t="shared" si="170"/>
        <v>10000</v>
      </c>
      <c r="Y1865" s="16">
        <f t="shared" si="166"/>
        <v>0</v>
      </c>
    </row>
    <row r="1866" spans="1:28" s="16" customFormat="1" ht="30">
      <c r="A1866" s="236"/>
      <c r="B1866" s="10"/>
      <c r="C1866" s="69" t="s">
        <v>1095</v>
      </c>
      <c r="D1866" s="13">
        <v>41116</v>
      </c>
      <c r="E1866" s="1137" t="s">
        <v>5002</v>
      </c>
      <c r="F1866" s="1129" t="s">
        <v>5001</v>
      </c>
      <c r="G1866" s="12"/>
      <c r="H1866" s="90"/>
      <c r="I1866" s="90"/>
      <c r="J1866" s="13"/>
      <c r="K1866" s="13"/>
      <c r="L1866" s="90">
        <v>14000</v>
      </c>
      <c r="M1866" s="67">
        <f t="shared" si="169"/>
        <v>14000</v>
      </c>
      <c r="N1866" s="1137" t="s">
        <v>517</v>
      </c>
      <c r="O1866" s="1137"/>
      <c r="P1866" s="179"/>
      <c r="Q1866" s="223"/>
      <c r="R1866" s="223"/>
      <c r="S1866" s="928"/>
      <c r="T1866" s="928"/>
      <c r="U1866" s="928"/>
      <c r="V1866" s="14" t="s">
        <v>61</v>
      </c>
      <c r="X1866" s="16">
        <f t="shared" si="170"/>
        <v>14000</v>
      </c>
      <c r="Y1866" s="16">
        <f t="shared" si="166"/>
        <v>0</v>
      </c>
    </row>
    <row r="1867" spans="1:28" s="16" customFormat="1" ht="30">
      <c r="A1867" s="236"/>
      <c r="B1867" s="10"/>
      <c r="C1867" s="69" t="s">
        <v>1096</v>
      </c>
      <c r="D1867" s="13">
        <v>41116</v>
      </c>
      <c r="E1867" s="1137" t="s">
        <v>5002</v>
      </c>
      <c r="F1867" s="1129" t="s">
        <v>5001</v>
      </c>
      <c r="G1867" s="12"/>
      <c r="H1867" s="90"/>
      <c r="I1867" s="90"/>
      <c r="J1867" s="13"/>
      <c r="K1867" s="13"/>
      <c r="L1867" s="90">
        <v>24000</v>
      </c>
      <c r="M1867" s="67">
        <f t="shared" si="169"/>
        <v>24000</v>
      </c>
      <c r="N1867" s="1137" t="s">
        <v>517</v>
      </c>
      <c r="O1867" s="1137"/>
      <c r="P1867" s="179"/>
      <c r="Q1867" s="223"/>
      <c r="R1867" s="223"/>
      <c r="S1867" s="928"/>
      <c r="T1867" s="928"/>
      <c r="U1867" s="928"/>
      <c r="V1867" s="14" t="s">
        <v>61</v>
      </c>
      <c r="X1867" s="16">
        <f t="shared" si="170"/>
        <v>24000</v>
      </c>
      <c r="Y1867" s="16">
        <f t="shared" si="166"/>
        <v>0</v>
      </c>
    </row>
    <row r="1868" spans="1:28" s="16" customFormat="1" ht="30">
      <c r="A1868" s="236"/>
      <c r="B1868" s="10"/>
      <c r="C1868" s="69" t="s">
        <v>1097</v>
      </c>
      <c r="D1868" s="13">
        <v>41116</v>
      </c>
      <c r="E1868" s="1137" t="s">
        <v>5002</v>
      </c>
      <c r="F1868" s="1129" t="s">
        <v>5001</v>
      </c>
      <c r="G1868" s="12"/>
      <c r="H1868" s="90"/>
      <c r="I1868" s="90"/>
      <c r="J1868" s="13"/>
      <c r="K1868" s="13"/>
      <c r="L1868" s="90">
        <v>2200</v>
      </c>
      <c r="M1868" s="67">
        <f t="shared" si="169"/>
        <v>2200</v>
      </c>
      <c r="N1868" s="1137" t="s">
        <v>517</v>
      </c>
      <c r="O1868" s="1137"/>
      <c r="P1868" s="179"/>
      <c r="Q1868" s="223"/>
      <c r="R1868" s="223"/>
      <c r="S1868" s="928"/>
      <c r="T1868" s="928"/>
      <c r="U1868" s="928"/>
      <c r="V1868" s="14" t="s">
        <v>61</v>
      </c>
      <c r="X1868" s="16">
        <f t="shared" si="170"/>
        <v>2200</v>
      </c>
      <c r="Y1868" s="16">
        <f t="shared" si="166"/>
        <v>0</v>
      </c>
    </row>
    <row r="1869" spans="1:28" s="16" customFormat="1" ht="30">
      <c r="A1869" s="236"/>
      <c r="B1869" s="10"/>
      <c r="C1869" s="69" t="s">
        <v>1098</v>
      </c>
      <c r="D1869" s="13">
        <v>41116</v>
      </c>
      <c r="E1869" s="1137" t="s">
        <v>5002</v>
      </c>
      <c r="F1869" s="1129" t="s">
        <v>5001</v>
      </c>
      <c r="G1869" s="12"/>
      <c r="H1869" s="90"/>
      <c r="I1869" s="90"/>
      <c r="J1869" s="13"/>
      <c r="K1869" s="13"/>
      <c r="L1869" s="90">
        <v>19800</v>
      </c>
      <c r="M1869" s="67">
        <f t="shared" si="169"/>
        <v>19800</v>
      </c>
      <c r="N1869" s="1137" t="s">
        <v>517</v>
      </c>
      <c r="O1869" s="1137"/>
      <c r="P1869" s="179"/>
      <c r="Q1869" s="223"/>
      <c r="R1869" s="223"/>
      <c r="S1869" s="928"/>
      <c r="T1869" s="928"/>
      <c r="U1869" s="928"/>
      <c r="V1869" s="14" t="s">
        <v>61</v>
      </c>
      <c r="X1869" s="16">
        <f t="shared" si="170"/>
        <v>19800</v>
      </c>
      <c r="Y1869" s="16">
        <f t="shared" si="166"/>
        <v>0</v>
      </c>
    </row>
    <row r="1870" spans="1:28" s="16" customFormat="1" ht="30">
      <c r="A1870" s="236"/>
      <c r="B1870" s="10"/>
      <c r="C1870" s="69" t="s">
        <v>1099</v>
      </c>
      <c r="D1870" s="13">
        <v>41137</v>
      </c>
      <c r="E1870" s="1137" t="s">
        <v>5002</v>
      </c>
      <c r="F1870" s="1129" t="s">
        <v>5001</v>
      </c>
      <c r="G1870" s="12"/>
      <c r="H1870" s="90"/>
      <c r="I1870" s="90"/>
      <c r="J1870" s="13"/>
      <c r="K1870" s="13"/>
      <c r="L1870" s="90">
        <v>3500</v>
      </c>
      <c r="M1870" s="67">
        <f t="shared" si="169"/>
        <v>3500</v>
      </c>
      <c r="N1870" s="1137" t="s">
        <v>517</v>
      </c>
      <c r="O1870" s="1137"/>
      <c r="P1870" s="179"/>
      <c r="Q1870" s="223"/>
      <c r="R1870" s="223"/>
      <c r="S1870" s="928"/>
      <c r="T1870" s="928"/>
      <c r="U1870" s="928"/>
      <c r="V1870" s="14"/>
      <c r="X1870" s="16">
        <f t="shared" si="170"/>
        <v>3500</v>
      </c>
      <c r="Y1870" s="16">
        <f t="shared" si="166"/>
        <v>0</v>
      </c>
    </row>
    <row r="1871" spans="1:28" s="16" customFormat="1" ht="15">
      <c r="A1871" s="236"/>
      <c r="B1871" s="10"/>
      <c r="C1871" s="165"/>
      <c r="D1871" s="13"/>
      <c r="E1871" s="1137"/>
      <c r="F1871" s="12"/>
      <c r="G1871" s="12"/>
      <c r="H1871" s="90"/>
      <c r="I1871" s="90"/>
      <c r="J1871" s="13"/>
      <c r="K1871" s="13"/>
      <c r="L1871" s="90"/>
      <c r="M1871" s="90"/>
      <c r="N1871" s="1137"/>
      <c r="O1871" s="8"/>
      <c r="P1871" s="179"/>
      <c r="Q1871" s="438"/>
      <c r="R1871" s="438"/>
      <c r="S1871" s="932"/>
      <c r="T1871" s="932"/>
      <c r="U1871" s="932"/>
      <c r="V1871" s="12"/>
      <c r="X1871" s="16">
        <f t="shared" si="170"/>
        <v>0</v>
      </c>
      <c r="Y1871" s="16">
        <f t="shared" si="166"/>
        <v>0</v>
      </c>
    </row>
    <row r="1872" spans="1:28" s="16" customFormat="1" ht="15">
      <c r="A1872" s="236"/>
      <c r="B1872" s="1119"/>
      <c r="C1872" s="166"/>
      <c r="D1872" s="391"/>
      <c r="E1872" s="23"/>
      <c r="F1872" s="38"/>
      <c r="G1872" s="38"/>
      <c r="H1872" s="38"/>
      <c r="I1872" s="38"/>
      <c r="J1872" s="38"/>
      <c r="K1872" s="38"/>
      <c r="L1872" s="38"/>
      <c r="M1872" s="38"/>
      <c r="N1872" s="38"/>
      <c r="O1872" s="1137"/>
      <c r="P1872" s="179"/>
      <c r="Q1872" s="223"/>
      <c r="R1872" s="223"/>
      <c r="S1872" s="928"/>
      <c r="T1872" s="928"/>
      <c r="U1872" s="928"/>
      <c r="V1872" s="10"/>
      <c r="W1872" s="10"/>
      <c r="X1872" s="16">
        <f t="shared" ref="X1872:X1882" si="171">SUM(J1872:L1872)</f>
        <v>0</v>
      </c>
      <c r="Y1872" s="16">
        <f t="shared" si="166"/>
        <v>0</v>
      </c>
      <c r="Z1872" s="10"/>
      <c r="AA1872" s="10"/>
      <c r="AB1872" s="10"/>
    </row>
    <row r="1873" spans="1:28" s="16" customFormat="1" ht="15">
      <c r="A1873" s="236"/>
      <c r="B1873" s="836" t="s">
        <v>1100</v>
      </c>
      <c r="C1873" s="179"/>
      <c r="D1873" s="379"/>
      <c r="E1873" s="1137"/>
      <c r="F1873" s="370"/>
      <c r="G1873" s="370"/>
      <c r="H1873" s="10"/>
      <c r="I1873" s="10"/>
      <c r="J1873" s="7">
        <f>SUM(J1874:J1881)</f>
        <v>0</v>
      </c>
      <c r="K1873" s="7">
        <f t="shared" ref="K1873:M1873" si="172">SUM(K1874:K1881)</f>
        <v>0</v>
      </c>
      <c r="L1873" s="7">
        <f t="shared" si="172"/>
        <v>22430</v>
      </c>
      <c r="M1873" s="7">
        <f t="shared" si="172"/>
        <v>22430</v>
      </c>
      <c r="N1873" s="1137"/>
      <c r="O1873" s="1137"/>
      <c r="P1873" s="1136"/>
      <c r="Q1873" s="7">
        <f t="shared" ref="Q1873:R1873" si="173">SUM(Q1874:Q1881)</f>
        <v>0</v>
      </c>
      <c r="R1873" s="7">
        <f t="shared" si="173"/>
        <v>0</v>
      </c>
      <c r="S1873" s="928"/>
      <c r="T1873" s="928"/>
      <c r="U1873" s="928"/>
      <c r="V1873" s="14" t="s">
        <v>61</v>
      </c>
      <c r="W1873" s="10"/>
      <c r="X1873" s="16">
        <f t="shared" si="171"/>
        <v>22430</v>
      </c>
      <c r="Y1873" s="16">
        <f t="shared" si="166"/>
        <v>0</v>
      </c>
      <c r="Z1873" s="10"/>
      <c r="AA1873" s="10"/>
      <c r="AB1873" s="10"/>
    </row>
    <row r="1874" spans="1:28" s="16" customFormat="1" ht="30">
      <c r="A1874" s="236"/>
      <c r="B1874" s="468"/>
      <c r="C1874" s="69" t="s">
        <v>1281</v>
      </c>
      <c r="D1874" s="679">
        <v>40849</v>
      </c>
      <c r="E1874" s="211" t="s">
        <v>5002</v>
      </c>
      <c r="F1874" s="105" t="s">
        <v>5001</v>
      </c>
      <c r="G1874" s="468"/>
      <c r="H1874" s="90"/>
      <c r="I1874" s="90"/>
      <c r="J1874" s="455"/>
      <c r="K1874" s="455"/>
      <c r="L1874" s="90">
        <v>130</v>
      </c>
      <c r="M1874" s="90">
        <f>SUM(J1874:L1874)</f>
        <v>130</v>
      </c>
      <c r="N1874" s="1137" t="s">
        <v>517</v>
      </c>
      <c r="O1874" s="1137"/>
      <c r="P1874" s="1136"/>
      <c r="Q1874" s="223"/>
      <c r="R1874" s="223"/>
      <c r="S1874" s="928"/>
      <c r="T1874" s="928"/>
      <c r="U1874" s="928"/>
      <c r="V1874" s="14" t="s">
        <v>61</v>
      </c>
      <c r="W1874" s="10"/>
      <c r="X1874" s="16">
        <f t="shared" si="171"/>
        <v>130</v>
      </c>
      <c r="Y1874" s="16">
        <f t="shared" si="166"/>
        <v>0</v>
      </c>
      <c r="Z1874" s="10"/>
      <c r="AA1874" s="10"/>
      <c r="AB1874" s="10"/>
    </row>
    <row r="1875" spans="1:28" s="16" customFormat="1" ht="30">
      <c r="A1875" s="236"/>
      <c r="B1875" s="468"/>
      <c r="C1875" s="69" t="s">
        <v>1282</v>
      </c>
      <c r="D1875" s="679">
        <v>40849</v>
      </c>
      <c r="E1875" s="211" t="s">
        <v>5002</v>
      </c>
      <c r="F1875" s="105" t="s">
        <v>5001</v>
      </c>
      <c r="G1875" s="468"/>
      <c r="H1875" s="90"/>
      <c r="I1875" s="90"/>
      <c r="J1875" s="455"/>
      <c r="K1875" s="455"/>
      <c r="L1875" s="90">
        <v>10000</v>
      </c>
      <c r="M1875" s="90">
        <f t="shared" ref="M1875:M1881" si="174">SUM(J1875:L1875)</f>
        <v>10000</v>
      </c>
      <c r="N1875" s="1137" t="s">
        <v>517</v>
      </c>
      <c r="O1875" s="1137"/>
      <c r="P1875" s="1136"/>
      <c r="Q1875" s="223"/>
      <c r="R1875" s="223"/>
      <c r="S1875" s="928"/>
      <c r="T1875" s="928"/>
      <c r="U1875" s="928"/>
      <c r="V1875" s="14" t="s">
        <v>61</v>
      </c>
      <c r="W1875" s="10"/>
      <c r="X1875" s="16">
        <f t="shared" si="171"/>
        <v>10000</v>
      </c>
      <c r="Y1875" s="16">
        <f t="shared" si="166"/>
        <v>0</v>
      </c>
      <c r="Z1875" s="10"/>
      <c r="AA1875" s="10"/>
      <c r="AB1875" s="10"/>
    </row>
    <row r="1876" spans="1:28" s="16" customFormat="1" ht="30">
      <c r="A1876" s="236"/>
      <c r="B1876" s="468"/>
      <c r="C1876" s="69" t="s">
        <v>1283</v>
      </c>
      <c r="D1876" s="679">
        <v>40857</v>
      </c>
      <c r="E1876" s="211" t="s">
        <v>5002</v>
      </c>
      <c r="F1876" s="105" t="s">
        <v>5001</v>
      </c>
      <c r="G1876" s="468"/>
      <c r="H1876" s="90"/>
      <c r="I1876" s="90"/>
      <c r="J1876" s="455"/>
      <c r="K1876" s="455"/>
      <c r="L1876" s="90">
        <v>1300</v>
      </c>
      <c r="M1876" s="90">
        <f t="shared" si="174"/>
        <v>1300</v>
      </c>
      <c r="N1876" s="1137" t="s">
        <v>517</v>
      </c>
      <c r="O1876" s="1137"/>
      <c r="P1876" s="1136"/>
      <c r="Q1876" s="223"/>
      <c r="R1876" s="223"/>
      <c r="S1876" s="928"/>
      <c r="T1876" s="928"/>
      <c r="U1876" s="928"/>
      <c r="V1876" s="14" t="s">
        <v>61</v>
      </c>
      <c r="W1876" s="10"/>
      <c r="X1876" s="16">
        <f t="shared" si="171"/>
        <v>1300</v>
      </c>
      <c r="Y1876" s="16">
        <f t="shared" si="166"/>
        <v>0</v>
      </c>
      <c r="Z1876" s="10"/>
      <c r="AA1876" s="10"/>
      <c r="AB1876" s="10"/>
    </row>
    <row r="1877" spans="1:28" s="16" customFormat="1" ht="30">
      <c r="A1877" s="236"/>
      <c r="B1877" s="468"/>
      <c r="C1877" s="69" t="s">
        <v>1284</v>
      </c>
      <c r="D1877" s="679">
        <v>40899</v>
      </c>
      <c r="E1877" s="211" t="s">
        <v>5002</v>
      </c>
      <c r="F1877" s="105" t="s">
        <v>5001</v>
      </c>
      <c r="G1877" s="468"/>
      <c r="H1877" s="90"/>
      <c r="I1877" s="90"/>
      <c r="J1877" s="455"/>
      <c r="K1877" s="455"/>
      <c r="L1877" s="90">
        <v>500</v>
      </c>
      <c r="M1877" s="90">
        <f t="shared" si="174"/>
        <v>500</v>
      </c>
      <c r="N1877" s="1137" t="s">
        <v>517</v>
      </c>
      <c r="O1877" s="1137"/>
      <c r="P1877" s="1136"/>
      <c r="Q1877" s="223"/>
      <c r="R1877" s="223"/>
      <c r="S1877" s="928"/>
      <c r="T1877" s="928"/>
      <c r="U1877" s="928"/>
      <c r="V1877" s="14" t="s">
        <v>61</v>
      </c>
      <c r="W1877" s="10"/>
      <c r="X1877" s="16">
        <f t="shared" si="171"/>
        <v>500</v>
      </c>
      <c r="Y1877" s="16">
        <f t="shared" si="166"/>
        <v>0</v>
      </c>
      <c r="Z1877" s="10"/>
      <c r="AA1877" s="10"/>
      <c r="AB1877" s="10"/>
    </row>
    <row r="1878" spans="1:28" s="16" customFormat="1" ht="30">
      <c r="A1878" s="236"/>
      <c r="B1878" s="468"/>
      <c r="C1878" s="69" t="s">
        <v>1285</v>
      </c>
      <c r="D1878" s="679">
        <v>40899</v>
      </c>
      <c r="E1878" s="211" t="s">
        <v>5002</v>
      </c>
      <c r="F1878" s="105" t="s">
        <v>5001</v>
      </c>
      <c r="G1878" s="468"/>
      <c r="H1878" s="90"/>
      <c r="I1878" s="90"/>
      <c r="J1878" s="455"/>
      <c r="K1878" s="455"/>
      <c r="L1878" s="90">
        <v>500</v>
      </c>
      <c r="M1878" s="90">
        <f t="shared" si="174"/>
        <v>500</v>
      </c>
      <c r="N1878" s="1137" t="s">
        <v>517</v>
      </c>
      <c r="O1878" s="1137"/>
      <c r="P1878" s="1136"/>
      <c r="Q1878" s="223"/>
      <c r="R1878" s="223"/>
      <c r="S1878" s="928"/>
      <c r="T1878" s="928"/>
      <c r="U1878" s="928"/>
      <c r="V1878" s="14" t="s">
        <v>61</v>
      </c>
      <c r="W1878" s="10"/>
      <c r="X1878" s="16">
        <f t="shared" si="171"/>
        <v>500</v>
      </c>
      <c r="Y1878" s="16">
        <f t="shared" si="166"/>
        <v>0</v>
      </c>
      <c r="Z1878" s="10"/>
      <c r="AA1878" s="10"/>
      <c r="AB1878" s="10"/>
    </row>
    <row r="1879" spans="1:28" s="236" customFormat="1" ht="30">
      <c r="B1879" s="468"/>
      <c r="C1879" s="69" t="s">
        <v>1286</v>
      </c>
      <c r="D1879" s="679">
        <v>40899</v>
      </c>
      <c r="E1879" s="211" t="s">
        <v>5002</v>
      </c>
      <c r="F1879" s="105" t="s">
        <v>5001</v>
      </c>
      <c r="G1879" s="468"/>
      <c r="H1879" s="90"/>
      <c r="I1879" s="90"/>
      <c r="J1879" s="455"/>
      <c r="K1879" s="455"/>
      <c r="L1879" s="90">
        <v>500</v>
      </c>
      <c r="M1879" s="90">
        <f t="shared" si="174"/>
        <v>500</v>
      </c>
      <c r="N1879" s="1137" t="s">
        <v>517</v>
      </c>
      <c r="O1879" s="1137"/>
      <c r="P1879" s="1136"/>
      <c r="Q1879" s="223"/>
      <c r="R1879" s="223"/>
      <c r="S1879" s="928"/>
      <c r="T1879" s="928"/>
      <c r="U1879" s="928"/>
      <c r="V1879" s="14" t="s">
        <v>61</v>
      </c>
      <c r="W1879" s="388"/>
      <c r="X1879" s="16">
        <f t="shared" si="171"/>
        <v>500</v>
      </c>
      <c r="Y1879" s="16">
        <f t="shared" si="166"/>
        <v>0</v>
      </c>
      <c r="Z1879" s="388"/>
      <c r="AA1879" s="388"/>
      <c r="AB1879" s="388"/>
    </row>
    <row r="1880" spans="1:28" s="16" customFormat="1" ht="30">
      <c r="A1880" s="236"/>
      <c r="B1880" s="468"/>
      <c r="C1880" s="69" t="s">
        <v>1287</v>
      </c>
      <c r="D1880" s="679">
        <v>40899</v>
      </c>
      <c r="E1880" s="211" t="s">
        <v>5002</v>
      </c>
      <c r="F1880" s="105" t="s">
        <v>5001</v>
      </c>
      <c r="G1880" s="468"/>
      <c r="H1880" s="469"/>
      <c r="I1880" s="469"/>
      <c r="J1880" s="455"/>
      <c r="K1880" s="455"/>
      <c r="L1880" s="469">
        <v>500</v>
      </c>
      <c r="M1880" s="90">
        <f t="shared" si="174"/>
        <v>500</v>
      </c>
      <c r="N1880" s="1137" t="s">
        <v>517</v>
      </c>
      <c r="O1880" s="1137"/>
      <c r="P1880" s="775"/>
      <c r="Q1880" s="223"/>
      <c r="R1880" s="223"/>
      <c r="S1880" s="928"/>
      <c r="T1880" s="928"/>
      <c r="U1880" s="928"/>
      <c r="V1880" s="14" t="s">
        <v>61</v>
      </c>
      <c r="W1880" s="10"/>
      <c r="X1880" s="16">
        <f t="shared" si="171"/>
        <v>500</v>
      </c>
      <c r="Y1880" s="16">
        <f t="shared" si="166"/>
        <v>0</v>
      </c>
      <c r="Z1880" s="10"/>
      <c r="AA1880" s="10"/>
      <c r="AB1880" s="10"/>
    </row>
    <row r="1881" spans="1:28" s="16" customFormat="1" ht="30">
      <c r="A1881" s="236"/>
      <c r="B1881" s="468"/>
      <c r="C1881" s="69" t="s">
        <v>1288</v>
      </c>
      <c r="D1881" s="679">
        <v>40899</v>
      </c>
      <c r="E1881" s="211" t="s">
        <v>5002</v>
      </c>
      <c r="F1881" s="105" t="s">
        <v>5001</v>
      </c>
      <c r="G1881" s="468"/>
      <c r="H1881" s="90"/>
      <c r="I1881" s="90"/>
      <c r="J1881" s="455"/>
      <c r="K1881" s="455"/>
      <c r="L1881" s="90">
        <v>9000</v>
      </c>
      <c r="M1881" s="90">
        <f t="shared" si="174"/>
        <v>9000</v>
      </c>
      <c r="N1881" s="1137" t="s">
        <v>517</v>
      </c>
      <c r="O1881" s="1137"/>
      <c r="P1881" s="1136"/>
      <c r="Q1881" s="223"/>
      <c r="R1881" s="223"/>
      <c r="S1881" s="928"/>
      <c r="T1881" s="928"/>
      <c r="U1881" s="928"/>
      <c r="V1881" s="14"/>
      <c r="X1881" s="16">
        <f t="shared" si="171"/>
        <v>9000</v>
      </c>
      <c r="Y1881" s="16">
        <f t="shared" si="166"/>
        <v>0</v>
      </c>
    </row>
    <row r="1882" spans="1:28" s="739" customFormat="1" ht="15.95" customHeight="1">
      <c r="B1882" s="10"/>
      <c r="C1882" s="165"/>
      <c r="D1882" s="13"/>
      <c r="E1882" s="1137"/>
      <c r="F1882" s="12"/>
      <c r="G1882" s="12"/>
      <c r="H1882" s="90"/>
      <c r="I1882" s="90"/>
      <c r="J1882" s="13"/>
      <c r="K1882" s="13"/>
      <c r="L1882" s="90"/>
      <c r="M1882" s="90"/>
      <c r="N1882" s="1137"/>
      <c r="O1882" s="166"/>
      <c r="P1882" s="179"/>
      <c r="Q1882" s="216"/>
      <c r="R1882" s="216"/>
      <c r="S1882" s="877"/>
      <c r="T1882" s="877"/>
      <c r="U1882" s="877"/>
      <c r="V1882" s="38"/>
      <c r="X1882" s="16">
        <f t="shared" si="171"/>
        <v>0</v>
      </c>
      <c r="Y1882" s="16">
        <f t="shared" si="166"/>
        <v>0</v>
      </c>
    </row>
    <row r="1883" spans="1:28" s="9" customFormat="1" ht="15">
      <c r="A1883" s="697"/>
      <c r="B1883" s="35" t="s">
        <v>25</v>
      </c>
      <c r="C1883" s="166"/>
      <c r="D1883" s="391"/>
      <c r="E1883" s="23"/>
      <c r="F1883" s="38"/>
      <c r="G1883" s="38"/>
      <c r="H1883" s="38"/>
      <c r="I1883" s="35"/>
      <c r="J1883" s="36">
        <f>+J1884</f>
        <v>0</v>
      </c>
      <c r="K1883" s="36">
        <f t="shared" ref="K1883:M1883" si="175">+K1884</f>
        <v>10000</v>
      </c>
      <c r="L1883" s="36">
        <f t="shared" si="175"/>
        <v>0</v>
      </c>
      <c r="M1883" s="36">
        <f t="shared" si="175"/>
        <v>10000</v>
      </c>
      <c r="N1883" s="38"/>
      <c r="O1883" s="1136"/>
      <c r="P1883" s="1151"/>
      <c r="Q1883" s="36">
        <f t="shared" ref="Q1883:R1883" si="176">+Q1884</f>
        <v>9898</v>
      </c>
      <c r="R1883" s="36">
        <f t="shared" si="176"/>
        <v>0</v>
      </c>
      <c r="S1883" s="876"/>
      <c r="T1883" s="876"/>
      <c r="U1883" s="876"/>
      <c r="V1883" s="8"/>
      <c r="X1883" s="16">
        <f t="shared" ref="X1883:X1926" si="177">SUM(J1883:L1883)</f>
        <v>10000</v>
      </c>
      <c r="Y1883" s="16">
        <f t="shared" si="166"/>
        <v>0</v>
      </c>
    </row>
    <row r="1884" spans="1:28" s="231" customFormat="1" ht="15">
      <c r="A1884" s="237"/>
      <c r="B1884" s="829" t="s">
        <v>1289</v>
      </c>
      <c r="C1884" s="1126"/>
      <c r="D1884" s="361"/>
      <c r="E1884" s="1137"/>
      <c r="F1884" s="12"/>
      <c r="G1884" s="341"/>
      <c r="H1884" s="6">
        <v>21318</v>
      </c>
      <c r="I1884" s="6"/>
      <c r="J1884" s="7">
        <f>SUM(J1885:J1885)</f>
        <v>0</v>
      </c>
      <c r="K1884" s="7">
        <f>SUM(K1885:K1885)</f>
        <v>10000</v>
      </c>
      <c r="L1884" s="7">
        <f>SUM(L1885:L1885)</f>
        <v>0</v>
      </c>
      <c r="M1884" s="7">
        <f>SUM(M1885:M1885)</f>
        <v>10000</v>
      </c>
      <c r="N1884" s="6">
        <f>H1884+M1884</f>
        <v>31318</v>
      </c>
      <c r="O1884" s="1136"/>
      <c r="P1884" s="8"/>
      <c r="Q1884" s="7">
        <f t="shared" ref="Q1884:R1884" si="178">SUM(Q1885:Q1885)</f>
        <v>9898</v>
      </c>
      <c r="R1884" s="7">
        <f t="shared" si="178"/>
        <v>0</v>
      </c>
      <c r="S1884" s="876"/>
      <c r="T1884" s="876"/>
      <c r="U1884" s="876"/>
      <c r="V1884" s="1137" t="s">
        <v>517</v>
      </c>
      <c r="X1884" s="16">
        <f t="shared" si="177"/>
        <v>10000</v>
      </c>
      <c r="Y1884" s="16">
        <f t="shared" si="166"/>
        <v>0</v>
      </c>
    </row>
    <row r="1885" spans="1:28" s="39" customFormat="1" ht="30">
      <c r="B1885" s="857" t="s">
        <v>5807</v>
      </c>
      <c r="C1885" s="19" t="s">
        <v>1291</v>
      </c>
      <c r="D1885" s="29">
        <v>40889</v>
      </c>
      <c r="E1885" s="19" t="s">
        <v>5497</v>
      </c>
      <c r="F1885" s="390" t="s">
        <v>5496</v>
      </c>
      <c r="G1885" s="28"/>
      <c r="H1885" s="21"/>
      <c r="I1885" s="21"/>
      <c r="J1885" s="22"/>
      <c r="K1885" s="22">
        <v>10000</v>
      </c>
      <c r="L1885" s="22"/>
      <c r="M1885" s="22">
        <f>SUM(J1885:L1885)</f>
        <v>10000</v>
      </c>
      <c r="N1885" s="21"/>
      <c r="O1885" s="23"/>
      <c r="P1885" s="1137" t="s">
        <v>102</v>
      </c>
      <c r="Q1885" s="216">
        <f>500+9398</f>
        <v>9898</v>
      </c>
      <c r="R1885" s="216"/>
      <c r="S1885" s="877"/>
      <c r="T1885" s="877"/>
      <c r="U1885" s="877"/>
      <c r="V1885" s="22"/>
      <c r="W1885" s="14" t="s">
        <v>1290</v>
      </c>
      <c r="X1885" s="16">
        <f t="shared" si="177"/>
        <v>10000</v>
      </c>
      <c r="Y1885" s="16">
        <f t="shared" si="166"/>
        <v>0</v>
      </c>
    </row>
    <row r="1886" spans="1:28" s="39" customFormat="1" ht="15.95" customHeight="1">
      <c r="B1886" s="21"/>
      <c r="C1886" s="23"/>
      <c r="D1886" s="380"/>
      <c r="E1886" s="23"/>
      <c r="F1886" s="22"/>
      <c r="G1886" s="22"/>
      <c r="H1886" s="22"/>
      <c r="I1886" s="22"/>
      <c r="J1886" s="22"/>
      <c r="K1886" s="22"/>
      <c r="L1886" s="22"/>
      <c r="M1886" s="22"/>
      <c r="N1886" s="22"/>
      <c r="O1886" s="23"/>
      <c r="P1886" s="165"/>
      <c r="Q1886" s="216"/>
      <c r="R1886" s="216"/>
      <c r="S1886" s="877"/>
      <c r="T1886" s="877"/>
      <c r="U1886" s="877"/>
      <c r="V1886" s="22"/>
      <c r="X1886" s="16">
        <f t="shared" si="177"/>
        <v>0</v>
      </c>
      <c r="Y1886" s="16">
        <f t="shared" si="166"/>
        <v>0</v>
      </c>
    </row>
    <row r="1887" spans="1:28" s="39" customFormat="1" ht="15.95" customHeight="1">
      <c r="B1887" s="35" t="s">
        <v>70</v>
      </c>
      <c r="C1887" s="23"/>
      <c r="D1887" s="380"/>
      <c r="E1887" s="23"/>
      <c r="F1887" s="22"/>
      <c r="G1887" s="22"/>
      <c r="H1887" s="22"/>
      <c r="I1887" s="22"/>
      <c r="J1887" s="7">
        <f>SUM(J1888:J1915)</f>
        <v>0</v>
      </c>
      <c r="K1887" s="7">
        <f t="shared" ref="K1887:L1887" si="179">SUM(K1888:K1915)</f>
        <v>118100</v>
      </c>
      <c r="L1887" s="7">
        <f t="shared" si="179"/>
        <v>0</v>
      </c>
      <c r="M1887" s="7">
        <f>SUM(M1888:M1915)</f>
        <v>118100</v>
      </c>
      <c r="N1887" s="22"/>
      <c r="O1887" s="1140"/>
      <c r="P1887" s="165"/>
      <c r="Q1887" s="7">
        <f t="shared" ref="Q1887:R1887" si="180">SUM(Q1888:Q1915)</f>
        <v>116791</v>
      </c>
      <c r="R1887" s="7">
        <f t="shared" si="180"/>
        <v>9669</v>
      </c>
      <c r="S1887" s="403"/>
      <c r="T1887" s="403"/>
      <c r="U1887" s="403"/>
      <c r="V1887" s="14"/>
      <c r="W1887" s="14"/>
      <c r="X1887" s="16">
        <f t="shared" si="177"/>
        <v>118100</v>
      </c>
      <c r="Y1887" s="16">
        <f t="shared" si="166"/>
        <v>0</v>
      </c>
    </row>
    <row r="1888" spans="1:28" s="39" customFormat="1" ht="19.5" customHeight="1">
      <c r="B1888" s="829" t="s">
        <v>1166</v>
      </c>
      <c r="C1888" s="1137"/>
      <c r="D1888" s="26"/>
      <c r="E1888" s="1137"/>
      <c r="F1888" s="12"/>
      <c r="G1888" s="4"/>
      <c r="H1888" s="14"/>
      <c r="I1888" s="14"/>
      <c r="N1888" s="187"/>
      <c r="O1888" s="1140"/>
      <c r="P1888" s="1137"/>
      <c r="Q1888" s="216"/>
      <c r="R1888" s="216"/>
      <c r="S1888" s="403"/>
      <c r="T1888" s="403"/>
      <c r="U1888" s="403"/>
      <c r="V1888" s="14" t="s">
        <v>517</v>
      </c>
      <c r="X1888" s="16">
        <f t="shared" si="177"/>
        <v>0</v>
      </c>
      <c r="Y1888" s="16">
        <f t="shared" si="166"/>
        <v>0</v>
      </c>
    </row>
    <row r="1889" spans="2:25" s="39" customFormat="1" ht="69" customHeight="1">
      <c r="B1889" s="841" t="s">
        <v>1292</v>
      </c>
      <c r="C1889" s="1137" t="s">
        <v>1293</v>
      </c>
      <c r="D1889" s="13">
        <v>40899</v>
      </c>
      <c r="E1889" s="1138" t="s">
        <v>5499</v>
      </c>
      <c r="F1889" s="1129" t="s">
        <v>5498</v>
      </c>
      <c r="G1889" s="12"/>
      <c r="H1889" s="10"/>
      <c r="I1889" s="10"/>
      <c r="J1889" s="6"/>
      <c r="K1889" s="10">
        <v>500</v>
      </c>
      <c r="L1889" s="6"/>
      <c r="M1889" s="14">
        <f t="shared" ref="M1889:M1911" si="181">SUM(J1889:L1889)</f>
        <v>500</v>
      </c>
      <c r="N1889" s="6"/>
      <c r="O1889" s="117"/>
      <c r="P1889" s="1137" t="s">
        <v>102</v>
      </c>
      <c r="Q1889" s="93">
        <v>500</v>
      </c>
      <c r="R1889" s="506">
        <f>479+12+4</f>
        <v>495</v>
      </c>
      <c r="S1889" s="506" t="s">
        <v>1492</v>
      </c>
      <c r="T1889" s="876"/>
      <c r="U1889" s="876"/>
      <c r="V1889" s="14" t="s">
        <v>517</v>
      </c>
      <c r="W1889" s="14" t="s">
        <v>69</v>
      </c>
      <c r="X1889" s="16">
        <f t="shared" si="177"/>
        <v>500</v>
      </c>
      <c r="Y1889" s="16">
        <f t="shared" si="166"/>
        <v>0</v>
      </c>
    </row>
    <row r="1890" spans="2:25" s="39" customFormat="1" ht="66" customHeight="1">
      <c r="B1890" s="841" t="s">
        <v>1294</v>
      </c>
      <c r="C1890" s="1137" t="s">
        <v>1295</v>
      </c>
      <c r="D1890" s="13">
        <v>40899</v>
      </c>
      <c r="E1890" s="1138" t="s">
        <v>5499</v>
      </c>
      <c r="F1890" s="1129" t="s">
        <v>5498</v>
      </c>
      <c r="G1890" s="12"/>
      <c r="H1890" s="10"/>
      <c r="I1890" s="10"/>
      <c r="J1890" s="6"/>
      <c r="K1890" s="10">
        <v>2000</v>
      </c>
      <c r="L1890" s="6"/>
      <c r="M1890" s="14">
        <f t="shared" si="181"/>
        <v>2000</v>
      </c>
      <c r="N1890" s="6"/>
      <c r="O1890" s="117"/>
      <c r="P1890" s="1137" t="s">
        <v>102</v>
      </c>
      <c r="Q1890" s="93">
        <v>2000</v>
      </c>
      <c r="R1890" s="93"/>
      <c r="S1890" s="876"/>
      <c r="T1890" s="876"/>
      <c r="U1890" s="876"/>
      <c r="V1890" s="14" t="s">
        <v>517</v>
      </c>
      <c r="W1890" s="14" t="s">
        <v>69</v>
      </c>
      <c r="X1890" s="16">
        <f t="shared" si="177"/>
        <v>2000</v>
      </c>
      <c r="Y1890" s="16">
        <f t="shared" si="166"/>
        <v>0</v>
      </c>
    </row>
    <row r="1891" spans="2:25" s="39" customFormat="1" ht="33.75" customHeight="1">
      <c r="B1891" s="841" t="s">
        <v>1296</v>
      </c>
      <c r="C1891" s="1137" t="s">
        <v>1297</v>
      </c>
      <c r="D1891" s="13">
        <v>40899</v>
      </c>
      <c r="E1891" s="1138" t="s">
        <v>5499</v>
      </c>
      <c r="F1891" s="908" t="s">
        <v>5498</v>
      </c>
      <c r="G1891" s="12"/>
      <c r="H1891" s="10"/>
      <c r="I1891" s="10"/>
      <c r="J1891" s="6"/>
      <c r="K1891" s="10">
        <v>3000</v>
      </c>
      <c r="L1891" s="6"/>
      <c r="M1891" s="14">
        <f t="shared" si="181"/>
        <v>3000</v>
      </c>
      <c r="N1891" s="6"/>
      <c r="O1891" s="117"/>
      <c r="P1891" s="1137" t="s">
        <v>102</v>
      </c>
      <c r="Q1891" s="93">
        <v>3000</v>
      </c>
      <c r="R1891" s="93"/>
      <c r="S1891" s="876"/>
      <c r="T1891" s="876"/>
      <c r="U1891" s="876"/>
      <c r="V1891" s="14" t="s">
        <v>517</v>
      </c>
      <c r="W1891" s="14" t="s">
        <v>69</v>
      </c>
      <c r="X1891" s="16">
        <f t="shared" si="177"/>
        <v>3000</v>
      </c>
      <c r="Y1891" s="16">
        <f t="shared" si="166"/>
        <v>0</v>
      </c>
    </row>
    <row r="1892" spans="2:25" s="39" customFormat="1" ht="60">
      <c r="B1892" s="841" t="s">
        <v>1298</v>
      </c>
      <c r="C1892" s="1137" t="s">
        <v>1299</v>
      </c>
      <c r="D1892" s="13">
        <v>40899</v>
      </c>
      <c r="E1892" s="1138" t="s">
        <v>5499</v>
      </c>
      <c r="F1892" s="908" t="s">
        <v>5498</v>
      </c>
      <c r="G1892" s="12"/>
      <c r="H1892" s="10"/>
      <c r="I1892" s="10"/>
      <c r="J1892" s="6"/>
      <c r="K1892" s="10">
        <v>2500</v>
      </c>
      <c r="L1892" s="6"/>
      <c r="M1892" s="14">
        <f t="shared" si="181"/>
        <v>2500</v>
      </c>
      <c r="N1892" s="6"/>
      <c r="O1892" s="117"/>
      <c r="P1892" s="1137" t="s">
        <v>102</v>
      </c>
      <c r="Q1892" s="93">
        <v>2500</v>
      </c>
      <c r="R1892" s="93"/>
      <c r="S1892" s="876"/>
      <c r="T1892" s="876"/>
      <c r="U1892" s="876"/>
      <c r="V1892" s="14" t="s">
        <v>517</v>
      </c>
      <c r="W1892" s="14" t="s">
        <v>69</v>
      </c>
      <c r="X1892" s="16">
        <f t="shared" si="177"/>
        <v>2500</v>
      </c>
      <c r="Y1892" s="16">
        <f t="shared" si="166"/>
        <v>0</v>
      </c>
    </row>
    <row r="1893" spans="2:25" s="39" customFormat="1" ht="60">
      <c r="B1893" s="841" t="s">
        <v>1300</v>
      </c>
      <c r="C1893" s="1137" t="s">
        <v>1301</v>
      </c>
      <c r="D1893" s="13">
        <v>40899</v>
      </c>
      <c r="E1893" s="1138" t="s">
        <v>5499</v>
      </c>
      <c r="F1893" s="908" t="s">
        <v>5498</v>
      </c>
      <c r="G1893" s="12"/>
      <c r="H1893" s="10"/>
      <c r="I1893" s="10"/>
      <c r="J1893" s="6"/>
      <c r="K1893" s="10">
        <v>10000</v>
      </c>
      <c r="L1893" s="6"/>
      <c r="M1893" s="14">
        <f t="shared" si="181"/>
        <v>10000</v>
      </c>
      <c r="N1893" s="6"/>
      <c r="O1893" s="117"/>
      <c r="P1893" s="1137" t="s">
        <v>102</v>
      </c>
      <c r="Q1893" s="93">
        <v>10000</v>
      </c>
      <c r="R1893" s="93"/>
      <c r="S1893" s="876"/>
      <c r="T1893" s="876"/>
      <c r="U1893" s="876"/>
      <c r="V1893" s="14" t="s">
        <v>517</v>
      </c>
      <c r="W1893" s="14" t="s">
        <v>69</v>
      </c>
      <c r="X1893" s="16">
        <f t="shared" si="177"/>
        <v>10000</v>
      </c>
      <c r="Y1893" s="16">
        <f t="shared" si="166"/>
        <v>0</v>
      </c>
    </row>
    <row r="1894" spans="2:25" s="39" customFormat="1" ht="60">
      <c r="B1894" s="1131" t="s">
        <v>1302</v>
      </c>
      <c r="C1894" s="1126" t="s">
        <v>1303</v>
      </c>
      <c r="D1894" s="361">
        <v>40899</v>
      </c>
      <c r="E1894" s="796" t="s">
        <v>5499</v>
      </c>
      <c r="F1894" s="908" t="s">
        <v>5498</v>
      </c>
      <c r="G1894" s="360"/>
      <c r="H1894" s="10"/>
      <c r="I1894" s="10"/>
      <c r="J1894" s="6"/>
      <c r="K1894" s="10">
        <v>4000</v>
      </c>
      <c r="L1894" s="6"/>
      <c r="M1894" s="14">
        <f t="shared" si="181"/>
        <v>4000</v>
      </c>
      <c r="N1894" s="6"/>
      <c r="O1894" s="117"/>
      <c r="P1894" s="1137" t="s">
        <v>102</v>
      </c>
      <c r="Q1894" s="93">
        <v>4000</v>
      </c>
      <c r="R1894" s="93">
        <v>4000</v>
      </c>
      <c r="S1894" s="876"/>
      <c r="T1894" s="876"/>
      <c r="U1894" s="876"/>
      <c r="V1894" s="14" t="s">
        <v>517</v>
      </c>
      <c r="W1894" s="14" t="s">
        <v>69</v>
      </c>
      <c r="X1894" s="16">
        <f t="shared" si="177"/>
        <v>4000</v>
      </c>
      <c r="Y1894" s="16">
        <f t="shared" si="166"/>
        <v>0</v>
      </c>
    </row>
    <row r="1895" spans="2:25" s="39" customFormat="1" ht="60">
      <c r="B1895" s="1131" t="s">
        <v>1304</v>
      </c>
      <c r="C1895" s="1126" t="s">
        <v>1305</v>
      </c>
      <c r="D1895" s="361">
        <v>40899</v>
      </c>
      <c r="E1895" s="796" t="s">
        <v>5499</v>
      </c>
      <c r="F1895" s="908" t="s">
        <v>5498</v>
      </c>
      <c r="G1895" s="360"/>
      <c r="H1895" s="10"/>
      <c r="I1895" s="10"/>
      <c r="J1895" s="6"/>
      <c r="K1895" s="10">
        <v>5000</v>
      </c>
      <c r="L1895" s="6"/>
      <c r="M1895" s="14">
        <f t="shared" si="181"/>
        <v>5000</v>
      </c>
      <c r="N1895" s="6"/>
      <c r="O1895" s="117"/>
      <c r="P1895" s="1137" t="s">
        <v>102</v>
      </c>
      <c r="Q1895" s="93">
        <v>5000</v>
      </c>
      <c r="R1895" s="93"/>
      <c r="S1895" s="876"/>
      <c r="T1895" s="876"/>
      <c r="U1895" s="876"/>
      <c r="V1895" s="14" t="s">
        <v>517</v>
      </c>
      <c r="W1895" s="14" t="s">
        <v>69</v>
      </c>
      <c r="X1895" s="16">
        <f t="shared" si="177"/>
        <v>5000</v>
      </c>
      <c r="Y1895" s="16">
        <f t="shared" si="166"/>
        <v>0</v>
      </c>
    </row>
    <row r="1896" spans="2:25" s="39" customFormat="1" ht="60">
      <c r="B1896" s="1360" t="s">
        <v>1306</v>
      </c>
      <c r="C1896" s="1126" t="s">
        <v>1307</v>
      </c>
      <c r="D1896" s="361">
        <v>40891</v>
      </c>
      <c r="E1896" s="796" t="s">
        <v>5499</v>
      </c>
      <c r="F1896" s="908" t="s">
        <v>5498</v>
      </c>
      <c r="G1896" s="360"/>
      <c r="H1896" s="10"/>
      <c r="I1896" s="10"/>
      <c r="J1896" s="6"/>
      <c r="K1896" s="10">
        <v>100</v>
      </c>
      <c r="L1896" s="6"/>
      <c r="M1896" s="14">
        <f t="shared" si="181"/>
        <v>100</v>
      </c>
      <c r="N1896" s="6"/>
      <c r="O1896" s="117"/>
      <c r="P1896" s="1137" t="s">
        <v>102</v>
      </c>
      <c r="Q1896" s="93">
        <v>59</v>
      </c>
      <c r="R1896" s="93"/>
      <c r="S1896" s="876"/>
      <c r="T1896" s="876"/>
      <c r="U1896" s="876"/>
      <c r="V1896" s="14" t="s">
        <v>517</v>
      </c>
      <c r="W1896" s="14" t="s">
        <v>69</v>
      </c>
      <c r="X1896" s="16">
        <f t="shared" si="177"/>
        <v>100</v>
      </c>
      <c r="Y1896" s="16">
        <f t="shared" si="166"/>
        <v>0</v>
      </c>
    </row>
    <row r="1897" spans="2:25" s="39" customFormat="1" ht="60">
      <c r="B1897" s="1360"/>
      <c r="C1897" s="1126" t="s">
        <v>1308</v>
      </c>
      <c r="D1897" s="361">
        <v>40891</v>
      </c>
      <c r="E1897" s="796" t="s">
        <v>5499</v>
      </c>
      <c r="F1897" s="908" t="s">
        <v>5498</v>
      </c>
      <c r="G1897" s="360"/>
      <c r="H1897" s="10"/>
      <c r="I1897" s="10"/>
      <c r="J1897" s="6"/>
      <c r="K1897" s="10">
        <v>900</v>
      </c>
      <c r="L1897" s="6"/>
      <c r="M1897" s="14">
        <f t="shared" si="181"/>
        <v>900</v>
      </c>
      <c r="N1897" s="6"/>
      <c r="O1897" s="117"/>
      <c r="P1897" s="1137" t="s">
        <v>102</v>
      </c>
      <c r="Q1897" s="1127">
        <v>900</v>
      </c>
      <c r="R1897" s="1127"/>
      <c r="S1897" s="931"/>
      <c r="T1897" s="931"/>
      <c r="U1897" s="931"/>
      <c r="V1897" s="14" t="s">
        <v>517</v>
      </c>
      <c r="W1897" s="14" t="s">
        <v>69</v>
      </c>
      <c r="X1897" s="16">
        <f t="shared" si="177"/>
        <v>900</v>
      </c>
      <c r="Y1897" s="16">
        <f t="shared" si="166"/>
        <v>0</v>
      </c>
    </row>
    <row r="1898" spans="2:25" s="39" customFormat="1" ht="60">
      <c r="B1898" s="1131" t="s">
        <v>1309</v>
      </c>
      <c r="C1898" s="1126" t="s">
        <v>1310</v>
      </c>
      <c r="D1898" s="13">
        <v>40849</v>
      </c>
      <c r="E1898" s="796" t="s">
        <v>5499</v>
      </c>
      <c r="F1898" s="908" t="s">
        <v>5498</v>
      </c>
      <c r="G1898" s="360"/>
      <c r="H1898" s="1136"/>
      <c r="I1898" s="1136"/>
      <c r="J1898" s="6"/>
      <c r="K1898" s="1136">
        <v>5000</v>
      </c>
      <c r="L1898" s="6"/>
      <c r="M1898" s="1137">
        <f t="shared" si="181"/>
        <v>5000</v>
      </c>
      <c r="N1898" s="117"/>
      <c r="O1898" s="117"/>
      <c r="P1898" s="1137" t="s">
        <v>102</v>
      </c>
      <c r="Q1898" s="1127">
        <v>5000</v>
      </c>
      <c r="R1898" s="1127"/>
      <c r="S1898" s="931"/>
      <c r="T1898" s="931"/>
      <c r="U1898" s="931"/>
      <c r="V1898" s="14" t="s">
        <v>517</v>
      </c>
      <c r="W1898" s="14" t="s">
        <v>69</v>
      </c>
      <c r="X1898" s="16">
        <f t="shared" si="177"/>
        <v>5000</v>
      </c>
      <c r="Y1898" s="16">
        <f t="shared" si="166"/>
        <v>0</v>
      </c>
    </row>
    <row r="1899" spans="2:25" s="39" customFormat="1" ht="60">
      <c r="B1899" s="1131" t="s">
        <v>1311</v>
      </c>
      <c r="C1899" s="1126" t="s">
        <v>1312</v>
      </c>
      <c r="D1899" s="13">
        <v>40849</v>
      </c>
      <c r="E1899" s="796" t="s">
        <v>5499</v>
      </c>
      <c r="F1899" s="908" t="s">
        <v>5498</v>
      </c>
      <c r="G1899" s="360"/>
      <c r="H1899" s="1136"/>
      <c r="I1899" s="1136"/>
      <c r="J1899" s="6"/>
      <c r="K1899" s="1136">
        <v>5000</v>
      </c>
      <c r="L1899" s="6"/>
      <c r="M1899" s="1137">
        <f t="shared" si="181"/>
        <v>5000</v>
      </c>
      <c r="N1899" s="117"/>
      <c r="O1899" s="117"/>
      <c r="P1899" s="1137" t="s">
        <v>102</v>
      </c>
      <c r="Q1899" s="1127">
        <v>5000</v>
      </c>
      <c r="R1899" s="1127"/>
      <c r="S1899" s="931"/>
      <c r="T1899" s="931"/>
      <c r="U1899" s="931"/>
      <c r="V1899" s="14" t="s">
        <v>517</v>
      </c>
      <c r="W1899" s="14" t="s">
        <v>69</v>
      </c>
      <c r="X1899" s="16">
        <f t="shared" si="177"/>
        <v>5000</v>
      </c>
      <c r="Y1899" s="16">
        <f t="shared" si="166"/>
        <v>0</v>
      </c>
    </row>
    <row r="1900" spans="2:25" s="39" customFormat="1" ht="60">
      <c r="B1900" s="1131" t="s">
        <v>1313</v>
      </c>
      <c r="C1900" s="1126" t="s">
        <v>1314</v>
      </c>
      <c r="D1900" s="13">
        <v>40849</v>
      </c>
      <c r="E1900" s="796" t="s">
        <v>5499</v>
      </c>
      <c r="F1900" s="908" t="s">
        <v>5498</v>
      </c>
      <c r="G1900" s="360"/>
      <c r="H1900" s="1136"/>
      <c r="I1900" s="1136"/>
      <c r="J1900" s="6"/>
      <c r="K1900" s="1136">
        <v>5000</v>
      </c>
      <c r="L1900" s="6"/>
      <c r="M1900" s="1137">
        <f t="shared" si="181"/>
        <v>5000</v>
      </c>
      <c r="N1900" s="117"/>
      <c r="O1900" s="117"/>
      <c r="P1900" s="1137" t="s">
        <v>102</v>
      </c>
      <c r="Q1900" s="1127">
        <v>5000</v>
      </c>
      <c r="R1900" s="1127"/>
      <c r="S1900" s="931"/>
      <c r="T1900" s="931"/>
      <c r="U1900" s="931"/>
      <c r="V1900" s="14" t="s">
        <v>517</v>
      </c>
      <c r="W1900" s="14" t="s">
        <v>69</v>
      </c>
      <c r="X1900" s="16">
        <f t="shared" si="177"/>
        <v>5000</v>
      </c>
      <c r="Y1900" s="16">
        <f t="shared" si="166"/>
        <v>0</v>
      </c>
    </row>
    <row r="1901" spans="2:25" s="39" customFormat="1" ht="60">
      <c r="B1901" s="1131" t="s">
        <v>1315</v>
      </c>
      <c r="C1901" s="1126" t="s">
        <v>1316</v>
      </c>
      <c r="D1901" s="13">
        <v>40849</v>
      </c>
      <c r="E1901" s="796" t="s">
        <v>5499</v>
      </c>
      <c r="F1901" s="908" t="s">
        <v>5498</v>
      </c>
      <c r="G1901" s="360"/>
      <c r="H1901" s="1136"/>
      <c r="I1901" s="1136"/>
      <c r="J1901" s="6"/>
      <c r="K1901" s="1136">
        <v>4600</v>
      </c>
      <c r="L1901" s="6"/>
      <c r="M1901" s="1137">
        <f t="shared" si="181"/>
        <v>4600</v>
      </c>
      <c r="N1901" s="117"/>
      <c r="O1901" s="117"/>
      <c r="P1901" s="1137" t="s">
        <v>102</v>
      </c>
      <c r="Q1901" s="93">
        <v>4600</v>
      </c>
      <c r="R1901" s="93">
        <v>600</v>
      </c>
      <c r="S1901" s="876"/>
      <c r="T1901" s="876"/>
      <c r="U1901" s="876"/>
      <c r="V1901" s="14" t="s">
        <v>517</v>
      </c>
      <c r="W1901" s="14" t="s">
        <v>69</v>
      </c>
      <c r="X1901" s="16">
        <f t="shared" si="177"/>
        <v>4600</v>
      </c>
      <c r="Y1901" s="16">
        <f t="shared" si="166"/>
        <v>0</v>
      </c>
    </row>
    <row r="1902" spans="2:25" s="39" customFormat="1" ht="60">
      <c r="B1902" s="1131" t="s">
        <v>1317</v>
      </c>
      <c r="C1902" s="1126" t="s">
        <v>1318</v>
      </c>
      <c r="D1902" s="690">
        <v>40849</v>
      </c>
      <c r="E1902" s="796" t="s">
        <v>5499</v>
      </c>
      <c r="F1902" s="908" t="s">
        <v>5498</v>
      </c>
      <c r="G1902" s="360"/>
      <c r="H1902" s="10"/>
      <c r="I1902" s="10"/>
      <c r="J1902" s="6"/>
      <c r="K1902" s="10">
        <v>2000</v>
      </c>
      <c r="L1902" s="6"/>
      <c r="M1902" s="14">
        <f t="shared" si="181"/>
        <v>2000</v>
      </c>
      <c r="N1902" s="6"/>
      <c r="O1902" s="117"/>
      <c r="P1902" s="1137" t="s">
        <v>102</v>
      </c>
      <c r="Q1902" s="1127">
        <f>1620+380</f>
        <v>2000</v>
      </c>
      <c r="R1902" s="1127">
        <f>620+20</f>
        <v>640</v>
      </c>
      <c r="S1902" s="931"/>
      <c r="T1902" s="931"/>
      <c r="U1902" s="931"/>
      <c r="V1902" s="14" t="s">
        <v>517</v>
      </c>
      <c r="W1902" s="14" t="s">
        <v>69</v>
      </c>
      <c r="X1902" s="16">
        <f t="shared" si="177"/>
        <v>2000</v>
      </c>
      <c r="Y1902" s="16">
        <f t="shared" si="166"/>
        <v>0</v>
      </c>
    </row>
    <row r="1903" spans="2:25" s="39" customFormat="1" ht="60">
      <c r="B1903" s="1131" t="s">
        <v>1319</v>
      </c>
      <c r="C1903" s="1126" t="s">
        <v>1320</v>
      </c>
      <c r="D1903" s="13">
        <v>40849</v>
      </c>
      <c r="E1903" s="796" t="s">
        <v>5499</v>
      </c>
      <c r="F1903" s="908" t="s">
        <v>5498</v>
      </c>
      <c r="G1903" s="360"/>
      <c r="H1903" s="1136"/>
      <c r="I1903" s="1136"/>
      <c r="J1903" s="6"/>
      <c r="K1903" s="1136">
        <v>250</v>
      </c>
      <c r="L1903" s="6"/>
      <c r="M1903" s="1137">
        <f t="shared" si="181"/>
        <v>250</v>
      </c>
      <c r="N1903" s="117"/>
      <c r="O1903" s="117"/>
      <c r="P1903" s="1137" t="s">
        <v>102</v>
      </c>
      <c r="Q1903" s="1127">
        <f>105+145</f>
        <v>250</v>
      </c>
      <c r="R1903" s="1127"/>
      <c r="S1903" s="931"/>
      <c r="T1903" s="931"/>
      <c r="U1903" s="931"/>
      <c r="V1903" s="14" t="s">
        <v>517</v>
      </c>
      <c r="W1903" s="14" t="s">
        <v>69</v>
      </c>
      <c r="X1903" s="16">
        <f t="shared" si="177"/>
        <v>250</v>
      </c>
      <c r="Y1903" s="16">
        <f t="shared" si="166"/>
        <v>0</v>
      </c>
    </row>
    <row r="1904" spans="2:25" s="39" customFormat="1" ht="60">
      <c r="B1904" s="1131" t="s">
        <v>1321</v>
      </c>
      <c r="C1904" s="1126" t="s">
        <v>1322</v>
      </c>
      <c r="D1904" s="13">
        <v>40849</v>
      </c>
      <c r="E1904" s="796" t="s">
        <v>5499</v>
      </c>
      <c r="F1904" s="908" t="s">
        <v>5498</v>
      </c>
      <c r="G1904" s="360"/>
      <c r="H1904" s="1136"/>
      <c r="I1904" s="1136"/>
      <c r="J1904" s="6"/>
      <c r="K1904" s="1136">
        <v>3000</v>
      </c>
      <c r="L1904" s="6"/>
      <c r="M1904" s="1137">
        <f t="shared" si="181"/>
        <v>3000</v>
      </c>
      <c r="N1904" s="117"/>
      <c r="O1904" s="117"/>
      <c r="P1904" s="1137" t="s">
        <v>102</v>
      </c>
      <c r="Q1904" s="1127">
        <v>3000</v>
      </c>
      <c r="R1904" s="1127"/>
      <c r="S1904" s="931"/>
      <c r="T1904" s="931"/>
      <c r="U1904" s="931"/>
      <c r="V1904" s="14" t="s">
        <v>517</v>
      </c>
      <c r="W1904" s="14" t="s">
        <v>69</v>
      </c>
      <c r="X1904" s="16">
        <f t="shared" si="177"/>
        <v>3000</v>
      </c>
      <c r="Y1904" s="16">
        <f t="shared" ref="Y1904:Y1927" si="182">X1904-M1904</f>
        <v>0</v>
      </c>
    </row>
    <row r="1905" spans="2:25" s="39" customFormat="1" ht="60">
      <c r="B1905" s="1131" t="s">
        <v>1323</v>
      </c>
      <c r="C1905" s="1126" t="s">
        <v>1324</v>
      </c>
      <c r="D1905" s="13">
        <v>40849</v>
      </c>
      <c r="E1905" s="796" t="s">
        <v>5499</v>
      </c>
      <c r="F1905" s="908" t="s">
        <v>5498</v>
      </c>
      <c r="G1905" s="360"/>
      <c r="H1905" s="1136"/>
      <c r="I1905" s="1136"/>
      <c r="J1905" s="6"/>
      <c r="K1905" s="1136">
        <v>3000</v>
      </c>
      <c r="L1905" s="6"/>
      <c r="M1905" s="1137">
        <f t="shared" si="181"/>
        <v>3000</v>
      </c>
      <c r="N1905" s="117"/>
      <c r="O1905" s="117"/>
      <c r="P1905" s="1137" t="s">
        <v>102</v>
      </c>
      <c r="Q1905" s="93">
        <v>3000</v>
      </c>
      <c r="R1905" s="93"/>
      <c r="S1905" s="876"/>
      <c r="T1905" s="876"/>
      <c r="U1905" s="876"/>
      <c r="V1905" s="14" t="s">
        <v>517</v>
      </c>
      <c r="W1905" s="14" t="s">
        <v>69</v>
      </c>
      <c r="X1905" s="16">
        <f t="shared" si="177"/>
        <v>3000</v>
      </c>
      <c r="Y1905" s="16">
        <f t="shared" si="182"/>
        <v>0</v>
      </c>
    </row>
    <row r="1906" spans="2:25" s="39" customFormat="1" ht="60">
      <c r="B1906" s="1131" t="s">
        <v>1325</v>
      </c>
      <c r="C1906" s="1126" t="s">
        <v>1326</v>
      </c>
      <c r="D1906" s="690">
        <v>40849</v>
      </c>
      <c r="E1906" s="796" t="s">
        <v>5499</v>
      </c>
      <c r="F1906" s="908" t="s">
        <v>5498</v>
      </c>
      <c r="G1906" s="360"/>
      <c r="H1906" s="10"/>
      <c r="I1906" s="10"/>
      <c r="J1906" s="6"/>
      <c r="K1906" s="10">
        <v>1000</v>
      </c>
      <c r="L1906" s="6"/>
      <c r="M1906" s="14">
        <f t="shared" si="181"/>
        <v>1000</v>
      </c>
      <c r="N1906" s="6"/>
      <c r="O1906" s="117"/>
      <c r="P1906" s="1137" t="s">
        <v>102</v>
      </c>
      <c r="Q1906" s="1127">
        <v>1000</v>
      </c>
      <c r="R1906" s="1127"/>
      <c r="S1906" s="931"/>
      <c r="T1906" s="931"/>
      <c r="U1906" s="931"/>
      <c r="V1906" s="14" t="s">
        <v>517</v>
      </c>
      <c r="W1906" s="14" t="s">
        <v>69</v>
      </c>
      <c r="X1906" s="16">
        <f t="shared" si="177"/>
        <v>1000</v>
      </c>
      <c r="Y1906" s="16">
        <f t="shared" si="182"/>
        <v>0</v>
      </c>
    </row>
    <row r="1907" spans="2:25" s="39" customFormat="1" ht="60">
      <c r="B1907" s="1131" t="s">
        <v>1317</v>
      </c>
      <c r="C1907" s="1137" t="s">
        <v>1327</v>
      </c>
      <c r="D1907" s="13">
        <v>40849</v>
      </c>
      <c r="E1907" s="796" t="s">
        <v>5499</v>
      </c>
      <c r="F1907" s="908" t="s">
        <v>5498</v>
      </c>
      <c r="G1907" s="360"/>
      <c r="H1907" s="1136"/>
      <c r="I1907" s="1136"/>
      <c r="J1907" s="6"/>
      <c r="K1907" s="1136">
        <v>1500</v>
      </c>
      <c r="L1907" s="6"/>
      <c r="M1907" s="1137">
        <f t="shared" si="181"/>
        <v>1500</v>
      </c>
      <c r="N1907" s="117"/>
      <c r="O1907" s="117"/>
      <c r="P1907" s="1137" t="s">
        <v>102</v>
      </c>
      <c r="Q1907" s="93">
        <v>1500</v>
      </c>
      <c r="R1907" s="93">
        <v>1029</v>
      </c>
      <c r="S1907" s="876"/>
      <c r="T1907" s="876"/>
      <c r="U1907" s="876"/>
      <c r="V1907" s="14" t="s">
        <v>517</v>
      </c>
      <c r="W1907" s="14" t="s">
        <v>69</v>
      </c>
      <c r="X1907" s="16">
        <f t="shared" si="177"/>
        <v>1500</v>
      </c>
      <c r="Y1907" s="16">
        <f t="shared" si="182"/>
        <v>0</v>
      </c>
    </row>
    <row r="1908" spans="2:25" s="39" customFormat="1" ht="60">
      <c r="B1908" s="841" t="s">
        <v>1328</v>
      </c>
      <c r="C1908" s="1137" t="s">
        <v>1329</v>
      </c>
      <c r="D1908" s="13">
        <v>40849</v>
      </c>
      <c r="E1908" s="1138" t="s">
        <v>5499</v>
      </c>
      <c r="F1908" s="908" t="s">
        <v>5498</v>
      </c>
      <c r="G1908" s="12"/>
      <c r="H1908" s="10"/>
      <c r="I1908" s="10"/>
      <c r="J1908" s="6"/>
      <c r="K1908" s="10">
        <v>20000</v>
      </c>
      <c r="L1908" s="6"/>
      <c r="M1908" s="14">
        <f t="shared" si="181"/>
        <v>20000</v>
      </c>
      <c r="N1908" s="6"/>
      <c r="O1908" s="117"/>
      <c r="P1908" s="1137" t="s">
        <v>102</v>
      </c>
      <c r="Q1908" s="93">
        <v>19999</v>
      </c>
      <c r="R1908" s="93"/>
      <c r="S1908" s="876"/>
      <c r="T1908" s="876"/>
      <c r="U1908" s="876"/>
      <c r="V1908" s="14" t="s">
        <v>517</v>
      </c>
      <c r="W1908" s="14" t="s">
        <v>69</v>
      </c>
      <c r="X1908" s="16">
        <f t="shared" si="177"/>
        <v>20000</v>
      </c>
      <c r="Y1908" s="16">
        <f t="shared" si="182"/>
        <v>0</v>
      </c>
    </row>
    <row r="1909" spans="2:25" s="39" customFormat="1" ht="60">
      <c r="B1909" s="841" t="s">
        <v>1328</v>
      </c>
      <c r="C1909" s="1137" t="s">
        <v>1330</v>
      </c>
      <c r="D1909" s="13">
        <v>40849</v>
      </c>
      <c r="E1909" s="1138" t="s">
        <v>5499</v>
      </c>
      <c r="F1909" s="908" t="s">
        <v>5498</v>
      </c>
      <c r="G1909" s="12"/>
      <c r="H1909" s="10"/>
      <c r="I1909" s="10"/>
      <c r="J1909" s="6"/>
      <c r="K1909" s="10">
        <v>10000</v>
      </c>
      <c r="L1909" s="6"/>
      <c r="M1909" s="14">
        <f t="shared" si="181"/>
        <v>10000</v>
      </c>
      <c r="N1909" s="6"/>
      <c r="O1909" s="117"/>
      <c r="P1909" s="1137" t="s">
        <v>102</v>
      </c>
      <c r="Q1909" s="93">
        <v>9960</v>
      </c>
      <c r="R1909" s="93">
        <v>1550</v>
      </c>
      <c r="S1909" s="876"/>
      <c r="T1909" s="876"/>
      <c r="U1909" s="876"/>
      <c r="V1909" s="14" t="s">
        <v>517</v>
      </c>
      <c r="W1909" s="14" t="s">
        <v>69</v>
      </c>
      <c r="X1909" s="16">
        <f t="shared" si="177"/>
        <v>10000</v>
      </c>
      <c r="Y1909" s="16">
        <f t="shared" si="182"/>
        <v>0</v>
      </c>
    </row>
    <row r="1910" spans="2:25" s="39" customFormat="1" ht="75">
      <c r="B1910" s="841" t="s">
        <v>1331</v>
      </c>
      <c r="C1910" s="1137" t="s">
        <v>1332</v>
      </c>
      <c r="D1910" s="13">
        <v>40849</v>
      </c>
      <c r="E1910" s="1138" t="s">
        <v>5499</v>
      </c>
      <c r="F1910" s="908" t="s">
        <v>5498</v>
      </c>
      <c r="G1910" s="12"/>
      <c r="H1910" s="10"/>
      <c r="I1910" s="10"/>
      <c r="J1910" s="6"/>
      <c r="K1910" s="10">
        <v>18000</v>
      </c>
      <c r="L1910" s="6"/>
      <c r="M1910" s="14">
        <f t="shared" si="181"/>
        <v>18000</v>
      </c>
      <c r="N1910" s="6"/>
      <c r="O1910" s="37"/>
      <c r="P1910" s="1137" t="s">
        <v>102</v>
      </c>
      <c r="Q1910" s="93">
        <v>17728</v>
      </c>
      <c r="R1910" s="93"/>
      <c r="S1910" s="927"/>
      <c r="T1910" s="927"/>
      <c r="U1910" s="927"/>
      <c r="V1910" s="14" t="s">
        <v>517</v>
      </c>
      <c r="W1910" s="14" t="s">
        <v>69</v>
      </c>
      <c r="X1910" s="16">
        <f t="shared" si="177"/>
        <v>18000</v>
      </c>
      <c r="Y1910" s="16">
        <f t="shared" si="182"/>
        <v>0</v>
      </c>
    </row>
    <row r="1911" spans="2:25" s="39" customFormat="1" ht="60">
      <c r="B1911" s="857" t="s">
        <v>1333</v>
      </c>
      <c r="C1911" s="19" t="s">
        <v>1334</v>
      </c>
      <c r="D1911" s="29">
        <v>40849</v>
      </c>
      <c r="E1911" s="797" t="s">
        <v>5499</v>
      </c>
      <c r="F1911" s="908" t="s">
        <v>5498</v>
      </c>
      <c r="G1911" s="28"/>
      <c r="H1911" s="21"/>
      <c r="I1911" s="21"/>
      <c r="J1911" s="35"/>
      <c r="K1911" s="21">
        <v>6000</v>
      </c>
      <c r="L1911" s="35"/>
      <c r="M1911" s="22">
        <f t="shared" si="181"/>
        <v>6000</v>
      </c>
      <c r="N1911" s="35"/>
      <c r="O1911" s="812"/>
      <c r="P1911" s="1137" t="s">
        <v>102</v>
      </c>
      <c r="Q1911" s="243">
        <v>6000</v>
      </c>
      <c r="R1911" s="243"/>
      <c r="S1911" s="515"/>
      <c r="T1911" s="515"/>
      <c r="U1911" s="515"/>
      <c r="V1911" s="14" t="s">
        <v>517</v>
      </c>
      <c r="W1911" s="14" t="s">
        <v>69</v>
      </c>
      <c r="X1911" s="16">
        <f t="shared" si="177"/>
        <v>6000</v>
      </c>
      <c r="Y1911" s="16">
        <f t="shared" si="182"/>
        <v>0</v>
      </c>
    </row>
    <row r="1912" spans="2:25" s="39" customFormat="1" ht="60">
      <c r="B1912" s="1101" t="s">
        <v>1335</v>
      </c>
      <c r="C1912" s="77" t="s">
        <v>1336</v>
      </c>
      <c r="D1912" s="78">
        <v>40995</v>
      </c>
      <c r="E1912" s="321" t="s">
        <v>5499</v>
      </c>
      <c r="F1912" s="203" t="s">
        <v>5498</v>
      </c>
      <c r="G1912" s="1103"/>
      <c r="H1912" s="74"/>
      <c r="I1912" s="74"/>
      <c r="J1912" s="79"/>
      <c r="K1912" s="74">
        <v>500</v>
      </c>
      <c r="L1912" s="74"/>
      <c r="M1912" s="74">
        <f>SUM(K1912:L1912)</f>
        <v>500</v>
      </c>
      <c r="N1912" s="357"/>
      <c r="O1912" s="812"/>
      <c r="P1912" s="1137" t="s">
        <v>102</v>
      </c>
      <c r="Q1912" s="243"/>
      <c r="R1912" s="243"/>
      <c r="S1912" s="515"/>
      <c r="T1912" s="515"/>
      <c r="U1912" s="515"/>
      <c r="V1912" s="14" t="s">
        <v>517</v>
      </c>
      <c r="W1912" s="14" t="s">
        <v>69</v>
      </c>
      <c r="X1912" s="16">
        <f t="shared" si="177"/>
        <v>500</v>
      </c>
      <c r="Y1912" s="16">
        <f t="shared" si="182"/>
        <v>0</v>
      </c>
    </row>
    <row r="1913" spans="2:25" s="39" customFormat="1" ht="60">
      <c r="B1913" s="1101" t="s">
        <v>1337</v>
      </c>
      <c r="C1913" s="77" t="s">
        <v>1338</v>
      </c>
      <c r="D1913" s="78">
        <v>40995</v>
      </c>
      <c r="E1913" s="321" t="s">
        <v>5499</v>
      </c>
      <c r="F1913" s="203" t="s">
        <v>5498</v>
      </c>
      <c r="G1913" s="1103"/>
      <c r="H1913" s="74"/>
      <c r="I1913" s="74"/>
      <c r="J1913" s="79"/>
      <c r="K1913" s="74">
        <v>3000</v>
      </c>
      <c r="L1913" s="74"/>
      <c r="M1913" s="74">
        <f>SUM(K1913:L1913)</f>
        <v>3000</v>
      </c>
      <c r="N1913" s="357"/>
      <c r="O1913" s="812"/>
      <c r="P1913" s="1137" t="s">
        <v>102</v>
      </c>
      <c r="Q1913" s="243">
        <v>3000</v>
      </c>
      <c r="R1913" s="243"/>
      <c r="S1913" s="515"/>
      <c r="T1913" s="515"/>
      <c r="U1913" s="515"/>
      <c r="V1913" s="14" t="s">
        <v>517</v>
      </c>
      <c r="W1913" s="14" t="s">
        <v>69</v>
      </c>
      <c r="X1913" s="16">
        <f t="shared" si="177"/>
        <v>3000</v>
      </c>
      <c r="Y1913" s="16">
        <f t="shared" si="182"/>
        <v>0</v>
      </c>
    </row>
    <row r="1914" spans="2:25" s="39" customFormat="1" ht="60">
      <c r="B1914" s="1101" t="s">
        <v>1337</v>
      </c>
      <c r="C1914" s="77" t="s">
        <v>1339</v>
      </c>
      <c r="D1914" s="78">
        <v>40995</v>
      </c>
      <c r="E1914" s="321" t="s">
        <v>5499</v>
      </c>
      <c r="F1914" s="203" t="s">
        <v>5498</v>
      </c>
      <c r="G1914" s="1103"/>
      <c r="H1914" s="74"/>
      <c r="I1914" s="74"/>
      <c r="J1914" s="79"/>
      <c r="K1914" s="74">
        <v>250</v>
      </c>
      <c r="L1914" s="74"/>
      <c r="M1914" s="74">
        <f>SUM(K1914:L1914)</f>
        <v>250</v>
      </c>
      <c r="N1914" s="357"/>
      <c r="O1914" s="812"/>
      <c r="P1914" s="1137" t="s">
        <v>102</v>
      </c>
      <c r="Q1914" s="243">
        <v>160</v>
      </c>
      <c r="R1914" s="243"/>
      <c r="S1914" s="515"/>
      <c r="T1914" s="515"/>
      <c r="U1914" s="515"/>
      <c r="V1914" s="14" t="s">
        <v>517</v>
      </c>
      <c r="W1914" s="14" t="s">
        <v>69</v>
      </c>
      <c r="X1914" s="16">
        <f t="shared" si="177"/>
        <v>250</v>
      </c>
      <c r="Y1914" s="16">
        <f t="shared" si="182"/>
        <v>0</v>
      </c>
    </row>
    <row r="1915" spans="2:25" s="39" customFormat="1" ht="60">
      <c r="B1915" s="1101" t="s">
        <v>1340</v>
      </c>
      <c r="C1915" s="77" t="s">
        <v>1341</v>
      </c>
      <c r="D1915" s="78">
        <v>41016</v>
      </c>
      <c r="E1915" s="321" t="s">
        <v>5499</v>
      </c>
      <c r="F1915" s="203" t="s">
        <v>5498</v>
      </c>
      <c r="G1915" s="1103"/>
      <c r="H1915" s="74"/>
      <c r="I1915" s="74"/>
      <c r="J1915" s="79"/>
      <c r="K1915" s="74">
        <v>2000</v>
      </c>
      <c r="L1915" s="74"/>
      <c r="M1915" s="74">
        <f>SUM(K1915:L1915)</f>
        <v>2000</v>
      </c>
      <c r="N1915" s="357"/>
      <c r="O1915" s="23"/>
      <c r="P1915" s="1137" t="s">
        <v>102</v>
      </c>
      <c r="Q1915" s="216">
        <v>1635</v>
      </c>
      <c r="R1915" s="216">
        <f>1325+30</f>
        <v>1355</v>
      </c>
      <c r="S1915" s="877"/>
      <c r="T1915" s="877"/>
      <c r="U1915" s="877"/>
      <c r="V1915" s="22"/>
      <c r="W1915" s="14" t="s">
        <v>69</v>
      </c>
      <c r="X1915" s="16">
        <f t="shared" si="177"/>
        <v>2000</v>
      </c>
      <c r="Y1915" s="16">
        <f t="shared" si="182"/>
        <v>0</v>
      </c>
    </row>
    <row r="1916" spans="2:25" s="39" customFormat="1" ht="15.95" customHeight="1">
      <c r="B1916" s="21"/>
      <c r="C1916" s="23"/>
      <c r="D1916" s="380"/>
      <c r="E1916" s="23"/>
      <c r="F1916" s="22"/>
      <c r="G1916" s="22"/>
      <c r="H1916" s="22"/>
      <c r="I1916" s="22"/>
      <c r="J1916" s="22"/>
      <c r="K1916" s="22"/>
      <c r="L1916" s="22"/>
      <c r="M1916" s="22"/>
      <c r="N1916" s="22"/>
      <c r="O1916" s="23"/>
      <c r="P1916" s="1137" t="s">
        <v>102</v>
      </c>
      <c r="Q1916" s="216"/>
      <c r="R1916" s="216"/>
      <c r="S1916" s="877"/>
      <c r="T1916" s="877"/>
      <c r="U1916" s="877"/>
      <c r="V1916" s="22"/>
      <c r="X1916" s="16">
        <f t="shared" si="177"/>
        <v>0</v>
      </c>
      <c r="Y1916" s="16">
        <f t="shared" si="182"/>
        <v>0</v>
      </c>
    </row>
    <row r="1917" spans="2:25" s="739" customFormat="1" ht="15.95" customHeight="1">
      <c r="B1917" s="35" t="s">
        <v>620</v>
      </c>
      <c r="C1917" s="166"/>
      <c r="D1917" s="391"/>
      <c r="E1917" s="23"/>
      <c r="F1917" s="38"/>
      <c r="G1917" s="38"/>
      <c r="H1917" s="38"/>
      <c r="I1917" s="38"/>
      <c r="J1917" s="36">
        <f>J1918+J1931+J1937+J1940</f>
        <v>0</v>
      </c>
      <c r="K1917" s="36">
        <f>K1918+K1931+K1937+K1940</f>
        <v>88850</v>
      </c>
      <c r="L1917" s="36">
        <f>L1918+L1931+L1937+L1940</f>
        <v>0</v>
      </c>
      <c r="M1917" s="36">
        <f>M1918+M1928+M1931+M1937+M1940</f>
        <v>90850</v>
      </c>
      <c r="N1917" s="38"/>
      <c r="O1917" s="166"/>
      <c r="P1917" s="1137" t="s">
        <v>102</v>
      </c>
      <c r="Q1917" s="36">
        <f>Q1918+Q1928+Q1931+Q1937+Q1940</f>
        <v>4111</v>
      </c>
      <c r="R1917" s="36">
        <f>R1918+R1928+R1931+R1937+R1940</f>
        <v>0</v>
      </c>
      <c r="S1917" s="877"/>
      <c r="T1917" s="877"/>
      <c r="U1917" s="877"/>
      <c r="V1917" s="38"/>
      <c r="X1917" s="16">
        <f t="shared" si="177"/>
        <v>88850</v>
      </c>
      <c r="Y1917" s="16">
        <f t="shared" si="182"/>
        <v>-2000</v>
      </c>
    </row>
    <row r="1918" spans="2:25" s="39" customFormat="1" ht="15.95" customHeight="1">
      <c r="B1918" s="470" t="s">
        <v>142</v>
      </c>
      <c r="C1918" s="166"/>
      <c r="D1918" s="391"/>
      <c r="E1918" s="23"/>
      <c r="F1918" s="38"/>
      <c r="G1918" s="38"/>
      <c r="H1918" s="38"/>
      <c r="I1918" s="38"/>
      <c r="J1918" s="392">
        <f>SUM(J1919:J1926)</f>
        <v>0</v>
      </c>
      <c r="K1918" s="392">
        <f t="shared" ref="K1918:M1918" si="183">SUM(K1919:K1926)</f>
        <v>60850</v>
      </c>
      <c r="L1918" s="392">
        <f t="shared" si="183"/>
        <v>0</v>
      </c>
      <c r="M1918" s="392">
        <f t="shared" si="183"/>
        <v>60850</v>
      </c>
      <c r="N1918" s="38"/>
      <c r="O1918" s="179"/>
      <c r="P1918" s="1137" t="s">
        <v>102</v>
      </c>
      <c r="Q1918" s="392">
        <f t="shared" ref="Q1918:R1918" si="184">SUM(Q1919:Q1926)</f>
        <v>0</v>
      </c>
      <c r="R1918" s="392">
        <f t="shared" si="184"/>
        <v>0</v>
      </c>
      <c r="S1918" s="924"/>
      <c r="T1918" s="924"/>
      <c r="U1918" s="924"/>
      <c r="V1918" s="8"/>
      <c r="X1918" s="16">
        <f t="shared" si="177"/>
        <v>60850</v>
      </c>
      <c r="Y1918" s="16">
        <f t="shared" si="182"/>
        <v>0</v>
      </c>
    </row>
    <row r="1919" spans="2:25" s="39" customFormat="1" ht="60">
      <c r="B1919" s="837" t="s">
        <v>1343</v>
      </c>
      <c r="C1919" s="1137" t="s">
        <v>1344</v>
      </c>
      <c r="D1919" s="13">
        <v>40849</v>
      </c>
      <c r="E1919" s="1137" t="s">
        <v>5640</v>
      </c>
      <c r="F1919" s="1129" t="s">
        <v>5639</v>
      </c>
      <c r="G1919" s="1129"/>
      <c r="H1919" s="16"/>
      <c r="I1919" s="16"/>
      <c r="J1919" s="14"/>
      <c r="K1919" s="14">
        <v>2500</v>
      </c>
      <c r="L1919" s="16"/>
      <c r="M1919" s="14">
        <f t="shared" ref="M1919:M1926" si="185">SUM(J1919:L1919)</f>
        <v>2500</v>
      </c>
      <c r="N1919" s="16"/>
      <c r="O1919" s="179"/>
      <c r="P1919" s="1137" t="s">
        <v>102</v>
      </c>
      <c r="Q1919" s="359"/>
      <c r="R1919" s="359"/>
      <c r="S1919" s="924"/>
      <c r="T1919" s="924"/>
      <c r="U1919" s="924"/>
      <c r="V1919" s="8"/>
      <c r="W1919" s="31" t="s">
        <v>1342</v>
      </c>
      <c r="X1919" s="16">
        <f t="shared" si="177"/>
        <v>2500</v>
      </c>
      <c r="Y1919" s="16">
        <f t="shared" si="182"/>
        <v>0</v>
      </c>
    </row>
    <row r="1920" spans="2:25" s="39" customFormat="1" ht="60">
      <c r="B1920" s="837" t="s">
        <v>1343</v>
      </c>
      <c r="C1920" s="1137" t="s">
        <v>1345</v>
      </c>
      <c r="D1920" s="13">
        <v>40849</v>
      </c>
      <c r="E1920" s="1137" t="s">
        <v>5640</v>
      </c>
      <c r="F1920" s="1129" t="s">
        <v>5639</v>
      </c>
      <c r="G1920" s="1129"/>
      <c r="H1920" s="16"/>
      <c r="I1920" s="16"/>
      <c r="J1920" s="14"/>
      <c r="K1920" s="14">
        <v>2000</v>
      </c>
      <c r="L1920" s="16"/>
      <c r="M1920" s="14">
        <f t="shared" si="185"/>
        <v>2000</v>
      </c>
      <c r="N1920" s="16"/>
      <c r="O1920" s="179"/>
      <c r="P1920" s="1137" t="s">
        <v>102</v>
      </c>
      <c r="Q1920" s="359"/>
      <c r="R1920" s="359"/>
      <c r="S1920" s="924"/>
      <c r="T1920" s="924"/>
      <c r="U1920" s="924"/>
      <c r="V1920" s="8"/>
      <c r="W1920" s="31" t="s">
        <v>1342</v>
      </c>
      <c r="X1920" s="16">
        <f t="shared" si="177"/>
        <v>2000</v>
      </c>
      <c r="Y1920" s="16">
        <f t="shared" si="182"/>
        <v>0</v>
      </c>
    </row>
    <row r="1921" spans="1:25" s="39" customFormat="1" ht="60">
      <c r="B1921" s="837" t="s">
        <v>1343</v>
      </c>
      <c r="C1921" s="1137" t="s">
        <v>1346</v>
      </c>
      <c r="D1921" s="13">
        <v>40857</v>
      </c>
      <c r="E1921" s="1137" t="s">
        <v>5640</v>
      </c>
      <c r="F1921" s="1129" t="s">
        <v>5639</v>
      </c>
      <c r="G1921" s="1129"/>
      <c r="H1921" s="16"/>
      <c r="I1921" s="16"/>
      <c r="J1921" s="14"/>
      <c r="K1921" s="14">
        <v>42850</v>
      </c>
      <c r="L1921" s="16"/>
      <c r="M1921" s="14">
        <f t="shared" si="185"/>
        <v>42850</v>
      </c>
      <c r="N1921" s="16"/>
      <c r="O1921" s="179"/>
      <c r="P1921" s="1137" t="s">
        <v>102</v>
      </c>
      <c r="Q1921" s="359"/>
      <c r="R1921" s="359"/>
      <c r="S1921" s="924"/>
      <c r="T1921" s="924"/>
      <c r="U1921" s="924"/>
      <c r="V1921" s="8"/>
      <c r="W1921" s="31" t="s">
        <v>1342</v>
      </c>
      <c r="X1921" s="16">
        <f t="shared" si="177"/>
        <v>42850</v>
      </c>
      <c r="Y1921" s="16">
        <f t="shared" si="182"/>
        <v>0</v>
      </c>
    </row>
    <row r="1922" spans="1:25" s="39" customFormat="1" ht="60">
      <c r="B1922" s="837" t="s">
        <v>1343</v>
      </c>
      <c r="C1922" s="1137" t="s">
        <v>1347</v>
      </c>
      <c r="D1922" s="13">
        <v>40884</v>
      </c>
      <c r="E1922" s="1137" t="s">
        <v>5640</v>
      </c>
      <c r="F1922" s="1129" t="s">
        <v>5639</v>
      </c>
      <c r="G1922" s="1129"/>
      <c r="H1922" s="16"/>
      <c r="I1922" s="16"/>
      <c r="J1922" s="14"/>
      <c r="K1922" s="14">
        <v>3000</v>
      </c>
      <c r="L1922" s="16"/>
      <c r="M1922" s="14">
        <f t="shared" si="185"/>
        <v>3000</v>
      </c>
      <c r="N1922" s="16"/>
      <c r="O1922" s="179"/>
      <c r="P1922" s="1137" t="s">
        <v>102</v>
      </c>
      <c r="Q1922" s="359"/>
      <c r="R1922" s="359"/>
      <c r="S1922" s="924"/>
      <c r="T1922" s="924"/>
      <c r="U1922" s="924"/>
      <c r="V1922" s="8"/>
      <c r="W1922" s="31" t="s">
        <v>1342</v>
      </c>
      <c r="X1922" s="16">
        <f t="shared" si="177"/>
        <v>3000</v>
      </c>
      <c r="Y1922" s="16">
        <f t="shared" si="182"/>
        <v>0</v>
      </c>
    </row>
    <row r="1923" spans="1:25" s="39" customFormat="1" ht="60">
      <c r="B1923" s="837" t="s">
        <v>1343</v>
      </c>
      <c r="C1923" s="1137" t="s">
        <v>1348</v>
      </c>
      <c r="D1923" s="13">
        <v>40899</v>
      </c>
      <c r="E1923" s="1137" t="s">
        <v>5640</v>
      </c>
      <c r="F1923" s="1129" t="s">
        <v>5639</v>
      </c>
      <c r="G1923" s="1129"/>
      <c r="H1923" s="16"/>
      <c r="I1923" s="16"/>
      <c r="J1923" s="14"/>
      <c r="K1923" s="14">
        <v>2000</v>
      </c>
      <c r="L1923" s="16"/>
      <c r="M1923" s="14">
        <f t="shared" si="185"/>
        <v>2000</v>
      </c>
      <c r="N1923" s="16"/>
      <c r="O1923" s="1137"/>
      <c r="P1923" s="1137" t="s">
        <v>102</v>
      </c>
      <c r="Q1923" s="216"/>
      <c r="R1923" s="216"/>
      <c r="S1923" s="403"/>
      <c r="T1923" s="403"/>
      <c r="U1923" s="403"/>
      <c r="V1923" s="8"/>
      <c r="W1923" s="31" t="s">
        <v>1342</v>
      </c>
      <c r="X1923" s="16">
        <f t="shared" si="177"/>
        <v>2000</v>
      </c>
      <c r="Y1923" s="16">
        <f t="shared" si="182"/>
        <v>0</v>
      </c>
    </row>
    <row r="1924" spans="1:25" s="39" customFormat="1" ht="60">
      <c r="B1924" s="841" t="s">
        <v>1349</v>
      </c>
      <c r="C1924" s="1137" t="s">
        <v>1350</v>
      </c>
      <c r="D1924" s="13">
        <v>40939</v>
      </c>
      <c r="E1924" s="1137" t="s">
        <v>5640</v>
      </c>
      <c r="F1924" s="1129" t="s">
        <v>5639</v>
      </c>
      <c r="G1924" s="1129"/>
      <c r="H1924" s="14"/>
      <c r="I1924" s="14"/>
      <c r="J1924" s="14"/>
      <c r="K1924" s="14">
        <v>8000</v>
      </c>
      <c r="L1924" s="14"/>
      <c r="M1924" s="14">
        <f t="shared" si="185"/>
        <v>8000</v>
      </c>
      <c r="N1924" s="14"/>
      <c r="O1924" s="1137"/>
      <c r="P1924" s="1137" t="s">
        <v>102</v>
      </c>
      <c r="Q1924" s="216"/>
      <c r="R1924" s="216"/>
      <c r="S1924" s="403"/>
      <c r="T1924" s="403"/>
      <c r="U1924" s="403"/>
      <c r="V1924" s="8"/>
      <c r="W1924" s="31" t="s">
        <v>1342</v>
      </c>
      <c r="X1924" s="16">
        <f t="shared" si="177"/>
        <v>8000</v>
      </c>
      <c r="Y1924" s="16">
        <f t="shared" si="182"/>
        <v>0</v>
      </c>
    </row>
    <row r="1925" spans="1:25" s="39" customFormat="1" ht="60">
      <c r="B1925" s="841" t="s">
        <v>1351</v>
      </c>
      <c r="C1925" s="1137" t="s">
        <v>1352</v>
      </c>
      <c r="D1925" s="13">
        <v>40995</v>
      </c>
      <c r="E1925" s="1137" t="s">
        <v>5640</v>
      </c>
      <c r="F1925" s="1129" t="s">
        <v>5639</v>
      </c>
      <c r="G1925" s="1129"/>
      <c r="H1925" s="14"/>
      <c r="I1925" s="14"/>
      <c r="J1925" s="14"/>
      <c r="K1925" s="14">
        <v>250</v>
      </c>
      <c r="L1925" s="14"/>
      <c r="M1925" s="14">
        <f t="shared" si="185"/>
        <v>250</v>
      </c>
      <c r="N1925" s="14"/>
      <c r="O1925" s="1137"/>
      <c r="P1925" s="1137" t="s">
        <v>102</v>
      </c>
      <c r="Q1925" s="216"/>
      <c r="R1925" s="216"/>
      <c r="S1925" s="403"/>
      <c r="T1925" s="403"/>
      <c r="U1925" s="403"/>
      <c r="V1925" s="8"/>
      <c r="W1925" s="31" t="s">
        <v>1342</v>
      </c>
      <c r="X1925" s="16">
        <f t="shared" si="177"/>
        <v>250</v>
      </c>
      <c r="Y1925" s="16">
        <f t="shared" si="182"/>
        <v>0</v>
      </c>
    </row>
    <row r="1926" spans="1:25" s="39" customFormat="1" ht="60">
      <c r="B1926" s="841" t="s">
        <v>1353</v>
      </c>
      <c r="C1926" s="1137" t="s">
        <v>1354</v>
      </c>
      <c r="D1926" s="13">
        <v>40995</v>
      </c>
      <c r="E1926" s="1137" t="s">
        <v>5640</v>
      </c>
      <c r="F1926" s="1129" t="s">
        <v>5639</v>
      </c>
      <c r="G1926" s="1129"/>
      <c r="H1926" s="14"/>
      <c r="I1926" s="14"/>
      <c r="J1926" s="14"/>
      <c r="K1926" s="14">
        <v>250</v>
      </c>
      <c r="L1926" s="14"/>
      <c r="M1926" s="14">
        <f t="shared" si="185"/>
        <v>250</v>
      </c>
      <c r="N1926" s="14"/>
      <c r="O1926" s="1137"/>
      <c r="P1926" s="1137" t="s">
        <v>102</v>
      </c>
      <c r="Q1926" s="216"/>
      <c r="R1926" s="216"/>
      <c r="S1926" s="403"/>
      <c r="T1926" s="403"/>
      <c r="U1926" s="403"/>
      <c r="V1926" s="8"/>
      <c r="W1926" s="31" t="s">
        <v>1342</v>
      </c>
      <c r="X1926" s="16">
        <f t="shared" si="177"/>
        <v>250</v>
      </c>
      <c r="Y1926" s="16">
        <f t="shared" si="182"/>
        <v>0</v>
      </c>
    </row>
    <row r="1927" spans="1:25" s="39" customFormat="1" ht="15.95" customHeight="1">
      <c r="B1927" s="10"/>
      <c r="C1927" s="1137"/>
      <c r="D1927" s="26"/>
      <c r="E1927" s="1137"/>
      <c r="F1927" s="12"/>
      <c r="G1927" s="12"/>
      <c r="H1927" s="14"/>
      <c r="I1927" s="14"/>
      <c r="J1927" s="14"/>
      <c r="K1927" s="14"/>
      <c r="L1927" s="14"/>
      <c r="M1927" s="10"/>
      <c r="N1927" s="14"/>
      <c r="O1927" s="23"/>
      <c r="P1927" s="179"/>
      <c r="Q1927" s="216"/>
      <c r="R1927" s="216"/>
      <c r="S1927" s="877"/>
      <c r="T1927" s="877"/>
      <c r="U1927" s="877"/>
      <c r="V1927" s="22"/>
      <c r="X1927" s="16">
        <f t="shared" ref="X1927:X1993" si="186">SUM(J1927:L1927)</f>
        <v>0</v>
      </c>
      <c r="Y1927" s="16">
        <f t="shared" si="182"/>
        <v>0</v>
      </c>
    </row>
    <row r="1928" spans="1:25" s="39" customFormat="1" ht="15.95" customHeight="1">
      <c r="B1928" s="839" t="s">
        <v>621</v>
      </c>
      <c r="C1928" s="1137"/>
      <c r="D1928" s="26"/>
      <c r="E1928" s="1137"/>
      <c r="F1928" s="12"/>
      <c r="G1928" s="12"/>
      <c r="H1928" s="14"/>
      <c r="I1928" s="14"/>
      <c r="J1928" s="14"/>
      <c r="K1928" s="14"/>
      <c r="L1928" s="14"/>
      <c r="M1928" s="36">
        <f>M1929</f>
        <v>2000</v>
      </c>
      <c r="N1928" s="14"/>
      <c r="O1928" s="23"/>
      <c r="P1928" s="165"/>
      <c r="Q1928" s="36">
        <f t="shared" ref="Q1928:R1928" si="187">Q1929</f>
        <v>0</v>
      </c>
      <c r="R1928" s="36">
        <f t="shared" si="187"/>
        <v>0</v>
      </c>
      <c r="S1928" s="877"/>
      <c r="T1928" s="877"/>
      <c r="U1928" s="877"/>
      <c r="V1928" s="22"/>
      <c r="X1928" s="16"/>
      <c r="Y1928" s="16"/>
    </row>
    <row r="1929" spans="1:25" s="16" customFormat="1" ht="45">
      <c r="A1929" s="236"/>
      <c r="B1929" s="837" t="s">
        <v>628</v>
      </c>
      <c r="C1929" s="1137" t="s">
        <v>629</v>
      </c>
      <c r="D1929" s="13">
        <v>40886</v>
      </c>
      <c r="E1929" s="1137" t="s">
        <v>5642</v>
      </c>
      <c r="F1929" s="12" t="s">
        <v>5641</v>
      </c>
      <c r="G1929" s="12"/>
      <c r="H1929" s="6">
        <v>8656</v>
      </c>
      <c r="I1929" s="6"/>
      <c r="J1929" s="14"/>
      <c r="K1929" s="14"/>
      <c r="L1929" s="14">
        <v>2000</v>
      </c>
      <c r="M1929" s="14">
        <f>SUM(J1929:L1929)</f>
        <v>2000</v>
      </c>
      <c r="N1929" s="6">
        <f>M1929+H1929</f>
        <v>10656</v>
      </c>
      <c r="O1929" s="117"/>
      <c r="P1929" s="165"/>
      <c r="Q1929" s="93"/>
      <c r="R1929" s="93"/>
      <c r="S1929" s="876"/>
      <c r="T1929" s="876"/>
      <c r="U1929" s="876"/>
      <c r="V1929" s="8"/>
      <c r="W1929" s="404"/>
      <c r="X1929" s="16">
        <f>SUM(J1929:L1929)</f>
        <v>2000</v>
      </c>
      <c r="Y1929" s="16">
        <f>X1929-M1929</f>
        <v>0</v>
      </c>
    </row>
    <row r="1930" spans="1:25" s="39" customFormat="1" ht="15.95" customHeight="1">
      <c r="B1930" s="10"/>
      <c r="C1930" s="1137"/>
      <c r="D1930" s="26"/>
      <c r="E1930" s="1137"/>
      <c r="F1930" s="12"/>
      <c r="G1930" s="12"/>
      <c r="H1930" s="14"/>
      <c r="I1930" s="14"/>
      <c r="J1930" s="14"/>
      <c r="K1930" s="14"/>
      <c r="L1930" s="14"/>
      <c r="M1930" s="14"/>
      <c r="N1930" s="14"/>
      <c r="O1930" s="23"/>
      <c r="P1930" s="770"/>
      <c r="Q1930" s="216"/>
      <c r="R1930" s="216"/>
      <c r="S1930" s="877"/>
      <c r="T1930" s="877"/>
      <c r="U1930" s="877"/>
      <c r="V1930" s="22"/>
      <c r="X1930" s="16"/>
      <c r="Y1930" s="16"/>
    </row>
    <row r="1931" spans="1:25" s="16" customFormat="1" ht="16.5" customHeight="1">
      <c r="A1931" s="236"/>
      <c r="B1931" s="470" t="s">
        <v>3484</v>
      </c>
      <c r="C1931" s="117"/>
      <c r="D1931" s="472"/>
      <c r="E1931" s="58"/>
      <c r="F1931" s="393"/>
      <c r="G1931" s="471"/>
      <c r="H1931" s="117">
        <v>8616</v>
      </c>
      <c r="I1931" s="117"/>
      <c r="J1931" s="473">
        <f>SUM(J1932:J1935)</f>
        <v>0</v>
      </c>
      <c r="K1931" s="473">
        <f t="shared" ref="K1931:M1931" si="188">SUM(K1932:K1935)</f>
        <v>18000</v>
      </c>
      <c r="L1931" s="473">
        <f t="shared" si="188"/>
        <v>0</v>
      </c>
      <c r="M1931" s="473">
        <f t="shared" si="188"/>
        <v>18000</v>
      </c>
      <c r="N1931" s="117">
        <f>M1931+H1931</f>
        <v>26616</v>
      </c>
      <c r="O1931" s="117"/>
      <c r="P1931" s="165"/>
      <c r="Q1931" s="473">
        <f t="shared" ref="Q1931:R1931" si="189">SUM(Q1932:Q1935)</f>
        <v>0</v>
      </c>
      <c r="R1931" s="473">
        <f t="shared" si="189"/>
        <v>0</v>
      </c>
      <c r="S1931" s="931"/>
      <c r="T1931" s="931"/>
      <c r="U1931" s="931"/>
      <c r="V1931" s="8"/>
      <c r="X1931" s="16">
        <f t="shared" si="186"/>
        <v>18000</v>
      </c>
      <c r="Y1931" s="16">
        <f t="shared" ref="Y1931:Y1962" si="190">X1931-M1931</f>
        <v>0</v>
      </c>
    </row>
    <row r="1932" spans="1:25" s="16" customFormat="1" ht="30">
      <c r="A1932" s="236"/>
      <c r="B1932" s="831" t="s">
        <v>1356</v>
      </c>
      <c r="C1932" s="1137" t="s">
        <v>1357</v>
      </c>
      <c r="D1932" s="13">
        <v>40849</v>
      </c>
      <c r="E1932" s="1138" t="s">
        <v>4992</v>
      </c>
      <c r="F1932" s="12" t="s">
        <v>5643</v>
      </c>
      <c r="G1932" s="12"/>
      <c r="H1932" s="405"/>
      <c r="I1932" s="405"/>
      <c r="J1932" s="117"/>
      <c r="K1932" s="14">
        <v>10000</v>
      </c>
      <c r="L1932" s="117"/>
      <c r="M1932" s="1136">
        <f>SUM(J1932:L1932)</f>
        <v>10000</v>
      </c>
      <c r="N1932" s="117"/>
      <c r="O1932" s="117"/>
      <c r="P1932" s="1137" t="s">
        <v>102</v>
      </c>
      <c r="Q1932" s="1127"/>
      <c r="R1932" s="1127"/>
      <c r="S1932" s="931"/>
      <c r="T1932" s="931"/>
      <c r="U1932" s="931"/>
      <c r="V1932" s="8"/>
      <c r="W1932" s="31" t="s">
        <v>1355</v>
      </c>
      <c r="X1932" s="16">
        <f t="shared" si="186"/>
        <v>10000</v>
      </c>
      <c r="Y1932" s="16">
        <f t="shared" si="190"/>
        <v>0</v>
      </c>
    </row>
    <row r="1933" spans="1:25" s="16" customFormat="1" ht="30">
      <c r="A1933" s="236"/>
      <c r="B1933" s="831" t="s">
        <v>1358</v>
      </c>
      <c r="C1933" s="1137" t="s">
        <v>1359</v>
      </c>
      <c r="D1933" s="13">
        <v>40899</v>
      </c>
      <c r="E1933" s="1180" t="s">
        <v>4992</v>
      </c>
      <c r="F1933" s="12" t="s">
        <v>5643</v>
      </c>
      <c r="G1933" s="12"/>
      <c r="H1933" s="405"/>
      <c r="I1933" s="405"/>
      <c r="J1933" s="117"/>
      <c r="K1933" s="14">
        <v>4000</v>
      </c>
      <c r="L1933" s="117"/>
      <c r="M1933" s="1136">
        <f>SUM(J1933:L1933)</f>
        <v>4000</v>
      </c>
      <c r="N1933" s="117"/>
      <c r="O1933" s="117"/>
      <c r="P1933" s="1137" t="s">
        <v>102</v>
      </c>
      <c r="Q1933" s="1127"/>
      <c r="R1933" s="1127"/>
      <c r="S1933" s="931"/>
      <c r="T1933" s="931"/>
      <c r="U1933" s="931"/>
      <c r="V1933" s="8"/>
      <c r="W1933" s="31" t="s">
        <v>1355</v>
      </c>
      <c r="X1933" s="16">
        <f t="shared" si="186"/>
        <v>4000</v>
      </c>
      <c r="Y1933" s="16">
        <f t="shared" si="190"/>
        <v>0</v>
      </c>
    </row>
    <row r="1934" spans="1:25" s="16" customFormat="1" ht="15">
      <c r="A1934" s="236"/>
      <c r="B1934" s="831"/>
      <c r="C1934" s="1137"/>
      <c r="D1934" s="13"/>
      <c r="E1934" s="1138"/>
      <c r="F1934" s="12"/>
      <c r="G1934" s="12"/>
      <c r="H1934" s="49"/>
      <c r="I1934" s="49"/>
      <c r="J1934" s="117"/>
      <c r="K1934" s="14"/>
      <c r="L1934" s="117"/>
      <c r="M1934" s="1136"/>
      <c r="N1934" s="117"/>
      <c r="O1934" s="117"/>
      <c r="P1934" s="32"/>
      <c r="Q1934" s="1127"/>
      <c r="R1934" s="1127"/>
      <c r="S1934" s="931"/>
      <c r="T1934" s="931"/>
      <c r="U1934" s="931"/>
      <c r="V1934" s="8"/>
      <c r="W1934" s="31"/>
      <c r="X1934" s="16">
        <f t="shared" si="186"/>
        <v>0</v>
      </c>
      <c r="Y1934" s="16">
        <f t="shared" si="190"/>
        <v>0</v>
      </c>
    </row>
    <row r="1935" spans="1:25" s="39" customFormat="1" ht="45">
      <c r="B1935" s="831" t="s">
        <v>1360</v>
      </c>
      <c r="C1935" s="1137" t="s">
        <v>1361</v>
      </c>
      <c r="D1935" s="13">
        <v>40891</v>
      </c>
      <c r="E1935" s="1138" t="s">
        <v>5645</v>
      </c>
      <c r="F1935" s="12" t="s">
        <v>5644</v>
      </c>
      <c r="G1935" s="12"/>
      <c r="H1935" s="117">
        <v>222491</v>
      </c>
      <c r="I1935" s="117"/>
      <c r="J1935" s="117"/>
      <c r="K1935" s="14">
        <v>4000</v>
      </c>
      <c r="L1935" s="1136"/>
      <c r="M1935" s="1136">
        <f>SUM(J1935:L1935)</f>
        <v>4000</v>
      </c>
      <c r="N1935" s="117">
        <f>M1935+H1935</f>
        <v>226491</v>
      </c>
      <c r="O1935" s="23"/>
      <c r="P1935" s="1137" t="s">
        <v>102</v>
      </c>
      <c r="Q1935" s="216"/>
      <c r="R1935" s="216"/>
      <c r="S1935" s="877"/>
      <c r="T1935" s="877"/>
      <c r="U1935" s="877"/>
      <c r="V1935" s="22"/>
      <c r="W1935" s="31" t="s">
        <v>1355</v>
      </c>
      <c r="X1935" s="16">
        <f t="shared" si="186"/>
        <v>4000</v>
      </c>
      <c r="Y1935" s="16">
        <f t="shared" si="190"/>
        <v>0</v>
      </c>
    </row>
    <row r="1936" spans="1:25" s="16" customFormat="1" ht="15">
      <c r="A1936" s="236"/>
      <c r="B1936" s="21"/>
      <c r="C1936" s="23"/>
      <c r="D1936" s="380"/>
      <c r="E1936" s="23"/>
      <c r="F1936" s="22"/>
      <c r="G1936" s="22"/>
      <c r="H1936" s="22"/>
      <c r="I1936" s="22"/>
      <c r="J1936" s="22"/>
      <c r="K1936" s="22"/>
      <c r="L1936" s="22"/>
      <c r="M1936" s="22"/>
      <c r="N1936" s="22"/>
      <c r="O1936" s="117"/>
      <c r="P1936" s="165"/>
      <c r="Q1936" s="1127"/>
      <c r="R1936" s="1127"/>
      <c r="S1936" s="931"/>
      <c r="T1936" s="931"/>
      <c r="U1936" s="931"/>
      <c r="V1936" s="8"/>
      <c r="W1936" s="31"/>
      <c r="X1936" s="16">
        <f t="shared" si="186"/>
        <v>0</v>
      </c>
      <c r="Y1936" s="16">
        <f t="shared" si="190"/>
        <v>0</v>
      </c>
    </row>
    <row r="1937" spans="1:269" s="16" customFormat="1" ht="15">
      <c r="A1937" s="236"/>
      <c r="B1937" s="843" t="s">
        <v>6000</v>
      </c>
      <c r="C1937" s="1137"/>
      <c r="D1937" s="13"/>
      <c r="E1937" s="1138"/>
      <c r="F1937" s="12"/>
      <c r="G1937" s="12"/>
      <c r="H1937" s="117"/>
      <c r="I1937" s="117"/>
      <c r="J1937" s="473">
        <f>J1938</f>
        <v>0</v>
      </c>
      <c r="K1937" s="473">
        <f>K1938</f>
        <v>5000</v>
      </c>
      <c r="L1937" s="473">
        <f t="shared" ref="L1937:M1937" si="191">L1938</f>
        <v>0</v>
      </c>
      <c r="M1937" s="473">
        <f t="shared" si="191"/>
        <v>5000</v>
      </c>
      <c r="N1937" s="117"/>
      <c r="O1937" s="117"/>
      <c r="P1937" s="32"/>
      <c r="Q1937" s="473">
        <f t="shared" ref="Q1937:R1937" si="192">Q1938</f>
        <v>4111</v>
      </c>
      <c r="R1937" s="473">
        <f t="shared" si="192"/>
        <v>0</v>
      </c>
      <c r="S1937" s="876"/>
      <c r="T1937" s="876"/>
      <c r="U1937" s="876"/>
      <c r="V1937" s="8"/>
      <c r="X1937" s="16">
        <f t="shared" si="186"/>
        <v>5000</v>
      </c>
      <c r="Y1937" s="16">
        <f t="shared" si="190"/>
        <v>0</v>
      </c>
    </row>
    <row r="1938" spans="1:269" s="16" customFormat="1" ht="190.5" customHeight="1">
      <c r="A1938" s="236"/>
      <c r="B1938" s="831" t="s">
        <v>1363</v>
      </c>
      <c r="C1938" s="1137" t="s">
        <v>1364</v>
      </c>
      <c r="D1938" s="13">
        <v>40886</v>
      </c>
      <c r="E1938" s="1138" t="s">
        <v>3044</v>
      </c>
      <c r="F1938" s="12" t="s">
        <v>6575</v>
      </c>
      <c r="G1938" s="12"/>
      <c r="H1938" s="6">
        <v>11008</v>
      </c>
      <c r="I1938" s="6"/>
      <c r="J1938" s="117"/>
      <c r="K1938" s="14">
        <v>5000</v>
      </c>
      <c r="L1938" s="14"/>
      <c r="M1938" s="14">
        <f>SUM(J1938:L1938)</f>
        <v>5000</v>
      </c>
      <c r="N1938" s="6">
        <f>M1938+H1938</f>
        <v>16008</v>
      </c>
      <c r="O1938" s="1136"/>
      <c r="P1938" s="1137" t="s">
        <v>102</v>
      </c>
      <c r="Q1938" s="93">
        <v>4111</v>
      </c>
      <c r="R1938" s="93"/>
      <c r="S1938" s="1345" t="s">
        <v>6124</v>
      </c>
      <c r="T1938" s="1345"/>
      <c r="U1938" s="1345"/>
      <c r="V1938" s="8"/>
      <c r="W1938" s="404" t="s">
        <v>1362</v>
      </c>
      <c r="X1938" s="16">
        <f t="shared" si="186"/>
        <v>5000</v>
      </c>
      <c r="Y1938" s="16">
        <f t="shared" si="190"/>
        <v>0</v>
      </c>
    </row>
    <row r="1939" spans="1:269" s="8" customFormat="1" ht="15">
      <c r="A1939" s="697"/>
      <c r="B1939" s="831"/>
      <c r="C1939" s="1137"/>
      <c r="D1939" s="13"/>
      <c r="E1939" s="1138"/>
      <c r="F1939" s="12"/>
      <c r="G1939" s="12"/>
      <c r="H1939" s="10"/>
      <c r="I1939" s="10"/>
      <c r="J1939" s="117"/>
      <c r="K1939" s="14"/>
      <c r="L1939" s="14"/>
      <c r="M1939" s="14"/>
      <c r="N1939" s="10"/>
      <c r="O1939" s="117"/>
      <c r="P1939" s="770"/>
      <c r="Q1939" s="1127"/>
      <c r="R1939" s="1127"/>
      <c r="S1939" s="931"/>
      <c r="T1939" s="931"/>
      <c r="U1939" s="931"/>
      <c r="W1939" s="16"/>
      <c r="X1939" s="16">
        <f t="shared" si="186"/>
        <v>0</v>
      </c>
      <c r="Y1939" s="16">
        <f t="shared" si="190"/>
        <v>0</v>
      </c>
      <c r="Z1939" s="16"/>
      <c r="AA1939" s="16"/>
      <c r="AB1939" s="16"/>
      <c r="AC1939" s="16"/>
      <c r="AD1939" s="16"/>
      <c r="AE1939" s="16"/>
      <c r="AF1939" s="16"/>
      <c r="AG1939" s="16"/>
      <c r="AH1939" s="16"/>
      <c r="AI1939" s="16"/>
      <c r="AJ1939" s="16"/>
      <c r="AK1939" s="16"/>
      <c r="AL1939" s="16"/>
      <c r="AM1939" s="16"/>
      <c r="AN1939" s="16"/>
      <c r="AO1939" s="16"/>
      <c r="AP1939" s="16"/>
      <c r="AQ1939" s="16"/>
      <c r="AR1939" s="16"/>
      <c r="AS1939" s="16"/>
      <c r="AT1939" s="16"/>
      <c r="AU1939" s="16"/>
      <c r="AV1939" s="16"/>
      <c r="AW1939" s="16"/>
      <c r="AX1939" s="16"/>
      <c r="AY1939" s="16"/>
      <c r="AZ1939" s="16"/>
      <c r="BA1939" s="16"/>
      <c r="BB1939" s="16"/>
      <c r="BC1939" s="16"/>
      <c r="BD1939" s="16"/>
      <c r="BE1939" s="16"/>
      <c r="BF1939" s="16"/>
      <c r="BG1939" s="16"/>
      <c r="BH1939" s="16"/>
      <c r="BI1939" s="16"/>
      <c r="BJ1939" s="16"/>
      <c r="BK1939" s="16"/>
      <c r="BL1939" s="16"/>
      <c r="BM1939" s="16"/>
      <c r="BN1939" s="16"/>
      <c r="BO1939" s="16"/>
      <c r="BP1939" s="16"/>
      <c r="BQ1939" s="16"/>
      <c r="BR1939" s="16"/>
      <c r="BS1939" s="16"/>
      <c r="BT1939" s="16"/>
      <c r="BU1939" s="16"/>
      <c r="BV1939" s="16"/>
      <c r="BW1939" s="16"/>
      <c r="BX1939" s="16"/>
      <c r="BY1939" s="16"/>
      <c r="BZ1939" s="16"/>
      <c r="CA1939" s="16"/>
      <c r="CB1939" s="16"/>
      <c r="CC1939" s="16"/>
      <c r="CD1939" s="16"/>
      <c r="CE1939" s="16"/>
      <c r="CF1939" s="16"/>
      <c r="CG1939" s="16"/>
      <c r="CH1939" s="16"/>
      <c r="CI1939" s="16"/>
      <c r="CJ1939" s="16"/>
      <c r="CK1939" s="16"/>
      <c r="CL1939" s="16"/>
      <c r="CM1939" s="16"/>
      <c r="CN1939" s="16"/>
      <c r="CO1939" s="16"/>
      <c r="CP1939" s="16"/>
      <c r="CQ1939" s="16"/>
      <c r="CR1939" s="16"/>
      <c r="CS1939" s="16"/>
      <c r="CT1939" s="16"/>
      <c r="CU1939" s="16"/>
      <c r="CV1939" s="16"/>
      <c r="CW1939" s="16"/>
      <c r="CX1939" s="16"/>
      <c r="CY1939" s="16"/>
      <c r="CZ1939" s="16"/>
      <c r="DA1939" s="16"/>
      <c r="DB1939" s="16"/>
      <c r="DC1939" s="16"/>
      <c r="DD1939" s="16"/>
      <c r="DE1939" s="16"/>
      <c r="DF1939" s="16"/>
      <c r="DG1939" s="16"/>
      <c r="DH1939" s="16"/>
      <c r="DI1939" s="16"/>
      <c r="DJ1939" s="16"/>
      <c r="DK1939" s="16"/>
      <c r="DL1939" s="16"/>
      <c r="DM1939" s="16"/>
      <c r="DN1939" s="16"/>
      <c r="DO1939" s="16"/>
      <c r="DP1939" s="16"/>
      <c r="DQ1939" s="16"/>
      <c r="DR1939" s="16"/>
      <c r="DS1939" s="16"/>
      <c r="DT1939" s="16"/>
      <c r="DU1939" s="16"/>
      <c r="DV1939" s="16"/>
      <c r="DW1939" s="16"/>
      <c r="DX1939" s="16"/>
      <c r="DY1939" s="16"/>
      <c r="DZ1939" s="16"/>
      <c r="EA1939" s="16"/>
      <c r="EB1939" s="16"/>
      <c r="EC1939" s="16"/>
      <c r="ED1939" s="16"/>
      <c r="EE1939" s="16"/>
      <c r="EF1939" s="16"/>
      <c r="EG1939" s="16"/>
      <c r="EH1939" s="16"/>
      <c r="EI1939" s="16"/>
      <c r="EJ1939" s="16"/>
      <c r="EK1939" s="16"/>
      <c r="EL1939" s="16"/>
      <c r="EM1939" s="16"/>
      <c r="EN1939" s="16"/>
      <c r="EO1939" s="16"/>
      <c r="EP1939" s="16"/>
      <c r="EQ1939" s="16"/>
      <c r="ER1939" s="16"/>
      <c r="ES1939" s="16"/>
      <c r="ET1939" s="16"/>
      <c r="EU1939" s="16"/>
      <c r="EV1939" s="16"/>
      <c r="EW1939" s="16"/>
      <c r="EX1939" s="16"/>
      <c r="EY1939" s="16"/>
      <c r="EZ1939" s="16"/>
      <c r="FA1939" s="16"/>
      <c r="FB1939" s="16"/>
      <c r="FC1939" s="16"/>
      <c r="FD1939" s="16"/>
      <c r="FE1939" s="16"/>
      <c r="FF1939" s="16"/>
      <c r="FG1939" s="16"/>
      <c r="FH1939" s="16"/>
      <c r="FI1939" s="16"/>
      <c r="FJ1939" s="16"/>
      <c r="FK1939" s="16"/>
      <c r="FL1939" s="16"/>
      <c r="FM1939" s="16"/>
      <c r="FN1939" s="16"/>
      <c r="FO1939" s="16"/>
      <c r="FP1939" s="16"/>
      <c r="FQ1939" s="16"/>
      <c r="FR1939" s="16"/>
      <c r="FS1939" s="16"/>
      <c r="FT1939" s="16"/>
      <c r="FU1939" s="16"/>
      <c r="FV1939" s="16"/>
      <c r="FW1939" s="16"/>
      <c r="FX1939" s="16"/>
      <c r="FY1939" s="16"/>
      <c r="FZ1939" s="16"/>
      <c r="GA1939" s="16"/>
      <c r="GB1939" s="16"/>
      <c r="GC1939" s="16"/>
      <c r="GD1939" s="16"/>
      <c r="GE1939" s="16"/>
      <c r="GF1939" s="16"/>
      <c r="GG1939" s="16"/>
      <c r="GH1939" s="16"/>
      <c r="GI1939" s="16"/>
      <c r="GJ1939" s="16"/>
      <c r="GK1939" s="16"/>
      <c r="GL1939" s="16"/>
      <c r="GM1939" s="16"/>
      <c r="GN1939" s="16"/>
      <c r="GO1939" s="16"/>
      <c r="GP1939" s="16"/>
      <c r="GQ1939" s="16"/>
      <c r="GR1939" s="16"/>
      <c r="GS1939" s="16"/>
      <c r="GT1939" s="16"/>
      <c r="GU1939" s="16"/>
      <c r="GV1939" s="16"/>
      <c r="GW1939" s="16"/>
      <c r="GX1939" s="16"/>
      <c r="GY1939" s="16"/>
      <c r="GZ1939" s="16"/>
      <c r="HA1939" s="16"/>
      <c r="HB1939" s="16"/>
      <c r="HC1939" s="16"/>
      <c r="HD1939" s="16"/>
      <c r="HE1939" s="16"/>
      <c r="HF1939" s="16"/>
      <c r="HG1939" s="16"/>
      <c r="HH1939" s="16"/>
      <c r="HI1939" s="16"/>
      <c r="HJ1939" s="16"/>
      <c r="HK1939" s="16"/>
      <c r="HL1939" s="16"/>
      <c r="HM1939" s="16"/>
      <c r="HN1939" s="16"/>
      <c r="HO1939" s="16"/>
      <c r="HP1939" s="16"/>
      <c r="HQ1939" s="16"/>
      <c r="HR1939" s="16"/>
      <c r="HS1939" s="16"/>
      <c r="HT1939" s="16"/>
      <c r="HU1939" s="16"/>
      <c r="HV1939" s="16"/>
      <c r="HW1939" s="16"/>
      <c r="HX1939" s="16"/>
      <c r="HY1939" s="16"/>
      <c r="HZ1939" s="16"/>
      <c r="IA1939" s="16"/>
      <c r="IB1939" s="16"/>
      <c r="IC1939" s="16"/>
      <c r="ID1939" s="16"/>
      <c r="IE1939" s="16"/>
      <c r="IF1939" s="16"/>
      <c r="IG1939" s="16"/>
      <c r="IH1939" s="16"/>
      <c r="II1939" s="16"/>
      <c r="IJ1939" s="16"/>
      <c r="IK1939" s="16"/>
      <c r="IL1939" s="16"/>
      <c r="IM1939" s="16"/>
      <c r="IN1939" s="16"/>
      <c r="IO1939" s="16"/>
      <c r="IP1939" s="16"/>
      <c r="IQ1939" s="16"/>
      <c r="IR1939" s="16"/>
      <c r="IS1939" s="16"/>
      <c r="IT1939" s="16"/>
      <c r="IU1939" s="16"/>
      <c r="IV1939" s="16"/>
      <c r="IW1939" s="16"/>
      <c r="IX1939" s="16"/>
      <c r="IY1939" s="16"/>
      <c r="IZ1939" s="16"/>
      <c r="JA1939" s="16"/>
      <c r="JB1939" s="16"/>
      <c r="JC1939" s="16"/>
      <c r="JD1939" s="16"/>
      <c r="JE1939" s="16"/>
      <c r="JF1939" s="16"/>
      <c r="JG1939" s="16"/>
      <c r="JH1939" s="16"/>
      <c r="JI1939" s="16"/>
    </row>
    <row r="1940" spans="1:269" s="16" customFormat="1" ht="15">
      <c r="A1940" s="236"/>
      <c r="B1940" s="474" t="s">
        <v>6001</v>
      </c>
      <c r="C1940" s="1137"/>
      <c r="D1940" s="26"/>
      <c r="E1940" s="58"/>
      <c r="F1940" s="12"/>
      <c r="G1940" s="12"/>
      <c r="H1940" s="117"/>
      <c r="I1940" s="117"/>
      <c r="J1940" s="473">
        <f>J1941</f>
        <v>0</v>
      </c>
      <c r="K1940" s="473">
        <f>K1941</f>
        <v>5000</v>
      </c>
      <c r="L1940" s="473">
        <f t="shared" ref="L1940:M1940" si="193">L1941</f>
        <v>0</v>
      </c>
      <c r="M1940" s="473">
        <f t="shared" si="193"/>
        <v>5000</v>
      </c>
      <c r="N1940" s="117"/>
      <c r="O1940" s="117"/>
      <c r="P1940" s="179"/>
      <c r="Q1940" s="473">
        <f t="shared" ref="Q1940:R1940" si="194">Q1941</f>
        <v>0</v>
      </c>
      <c r="R1940" s="473">
        <f t="shared" si="194"/>
        <v>0</v>
      </c>
      <c r="S1940" s="876"/>
      <c r="T1940" s="876"/>
      <c r="U1940" s="876"/>
      <c r="V1940" s="8"/>
      <c r="X1940" s="16">
        <f t="shared" si="186"/>
        <v>5000</v>
      </c>
      <c r="Y1940" s="16">
        <f t="shared" si="190"/>
        <v>0</v>
      </c>
    </row>
    <row r="1941" spans="1:269" s="39" customFormat="1" ht="30">
      <c r="B1941" s="831" t="s">
        <v>1366</v>
      </c>
      <c r="C1941" s="1137" t="s">
        <v>1367</v>
      </c>
      <c r="D1941" s="13">
        <v>40886</v>
      </c>
      <c r="E1941" s="1138" t="s">
        <v>5647</v>
      </c>
      <c r="F1941" s="12" t="s">
        <v>5646</v>
      </c>
      <c r="G1941" s="12"/>
      <c r="H1941" s="6">
        <v>13928</v>
      </c>
      <c r="I1941" s="6"/>
      <c r="J1941" s="473"/>
      <c r="K1941" s="147">
        <v>5000</v>
      </c>
      <c r="L1941" s="147"/>
      <c r="M1941" s="147">
        <f>SUM(J1941:L1941)</f>
        <v>5000</v>
      </c>
      <c r="N1941" s="6">
        <f>M1941+H1941</f>
        <v>18928</v>
      </c>
      <c r="O1941" s="23"/>
      <c r="P1941" s="1137" t="s">
        <v>102</v>
      </c>
      <c r="Q1941" s="216"/>
      <c r="R1941" s="216"/>
      <c r="S1941" s="877"/>
      <c r="T1941" s="877"/>
      <c r="U1941" s="877"/>
      <c r="V1941" s="22"/>
      <c r="W1941" s="31" t="s">
        <v>1365</v>
      </c>
      <c r="X1941" s="16">
        <f t="shared" si="186"/>
        <v>5000</v>
      </c>
      <c r="Y1941" s="16">
        <f t="shared" si="190"/>
        <v>0</v>
      </c>
    </row>
    <row r="1942" spans="1:269" s="39" customFormat="1" ht="15.95" customHeight="1">
      <c r="B1942" s="21"/>
      <c r="C1942" s="23"/>
      <c r="D1942" s="380"/>
      <c r="E1942" s="23"/>
      <c r="F1942" s="22"/>
      <c r="G1942" s="22"/>
      <c r="H1942" s="22"/>
      <c r="I1942" s="22"/>
      <c r="J1942" s="22"/>
      <c r="K1942" s="22"/>
      <c r="L1942" s="22"/>
      <c r="M1942" s="22"/>
      <c r="N1942" s="22"/>
      <c r="O1942" s="23"/>
      <c r="P1942" s="165"/>
      <c r="Q1942" s="216"/>
      <c r="R1942" s="216"/>
      <c r="S1942" s="877"/>
      <c r="T1942" s="877"/>
      <c r="U1942" s="877"/>
      <c r="V1942" s="22"/>
      <c r="X1942" s="16">
        <f t="shared" si="186"/>
        <v>0</v>
      </c>
      <c r="Y1942" s="16">
        <f t="shared" si="190"/>
        <v>0</v>
      </c>
    </row>
    <row r="1943" spans="1:269" s="478" customFormat="1" ht="18" customHeight="1">
      <c r="A1943" s="742"/>
      <c r="B1943" s="312" t="s">
        <v>176</v>
      </c>
      <c r="C1943" s="421"/>
      <c r="D1943" s="422"/>
      <c r="E1943" s="182"/>
      <c r="F1943" s="420"/>
      <c r="G1943" s="420"/>
      <c r="H1943" s="356"/>
      <c r="I1943" s="356"/>
      <c r="J1943" s="479">
        <f>J1944+J1972+J1979+J1983+J2003+J2018+J2022+J2030+J2039+J2046+J2056+J2060+J2077+J2083+J2086+J2095</f>
        <v>0</v>
      </c>
      <c r="K1943" s="479">
        <f>K1944+K1972+K1979+K1983+K2003+K2018+K2022+K2030+K2039+K2046+K2056+K2060+K2077+K2083+K2086+K2095</f>
        <v>102300</v>
      </c>
      <c r="L1943" s="479">
        <f>L1944+L1972+L1979+L1983+L2003+L2018+L2022+L2030+L2039+L2046+L2056+L2060+L2077+L2083+L2086+L2095</f>
        <v>11250</v>
      </c>
      <c r="M1943" s="479">
        <f>M1944+M1972+M1979+M1983+M2003+M2018+M2022+M2030+M2039+M2046+M2056+M2060+M2077+M2083+M2086+M2095</f>
        <v>113550</v>
      </c>
      <c r="N1943" s="475"/>
      <c r="O1943" s="816"/>
      <c r="P1943" s="165"/>
      <c r="Q1943" s="479">
        <f>Q1944+Q1972+Q1979+Q1983+Q2003+Q2018+Q2022+Q2030+Q2039+Q2046+Q2056+Q2060+Q2077+Q2083+Q2086+Q2095</f>
        <v>79746</v>
      </c>
      <c r="R1943" s="479">
        <f>R1944+R1972+R1979+R1983+R2003+R2018+R2022+R2030+R2039+R2046+R2056+R2060+R2077+R2083+R2086+R2095</f>
        <v>72543.100000000006</v>
      </c>
      <c r="S1943" s="873"/>
      <c r="T1943" s="873"/>
      <c r="U1943" s="873"/>
      <c r="V1943" s="476"/>
      <c r="W1943" s="477"/>
      <c r="X1943" s="16">
        <f t="shared" si="186"/>
        <v>113550</v>
      </c>
      <c r="Y1943" s="16">
        <f t="shared" si="190"/>
        <v>0</v>
      </c>
    </row>
    <row r="1944" spans="1:269" s="478" customFormat="1" ht="17.25" customHeight="1">
      <c r="A1944" s="742"/>
      <c r="B1944" s="312" t="s">
        <v>331</v>
      </c>
      <c r="C1944" s="421"/>
      <c r="D1944" s="422"/>
      <c r="E1944" s="182"/>
      <c r="F1944" s="420"/>
      <c r="G1944" s="420"/>
      <c r="H1944" s="356"/>
      <c r="I1944" s="356"/>
      <c r="J1944" s="479">
        <f>J1945+J1966+J1969</f>
        <v>0</v>
      </c>
      <c r="K1944" s="479">
        <f t="shared" ref="K1944:M1944" si="195">K1945+K1966+K1969</f>
        <v>31300</v>
      </c>
      <c r="L1944" s="479">
        <f t="shared" si="195"/>
        <v>5250</v>
      </c>
      <c r="M1944" s="479">
        <f t="shared" si="195"/>
        <v>36550</v>
      </c>
      <c r="N1944" s="475"/>
      <c r="O1944" s="816"/>
      <c r="P1944" s="727"/>
      <c r="Q1944" s="479">
        <f t="shared" ref="Q1944:R1944" si="196">Q1945+Q1966+Q1969</f>
        <v>21000</v>
      </c>
      <c r="R1944" s="479">
        <f t="shared" si="196"/>
        <v>16670</v>
      </c>
      <c r="S1944" s="873"/>
      <c r="T1944" s="873"/>
      <c r="U1944" s="873"/>
      <c r="V1944" s="476"/>
      <c r="W1944" s="477"/>
      <c r="X1944" s="16">
        <f t="shared" si="186"/>
        <v>36550</v>
      </c>
      <c r="Y1944" s="16">
        <f t="shared" si="190"/>
        <v>0</v>
      </c>
    </row>
    <row r="1945" spans="1:269" s="39" customFormat="1" ht="15.95" customHeight="1">
      <c r="B1945" s="312" t="s">
        <v>1368</v>
      </c>
      <c r="C1945" s="421"/>
      <c r="D1945" s="422"/>
      <c r="E1945" s="182"/>
      <c r="F1945" s="420"/>
      <c r="G1945" s="420"/>
      <c r="H1945" s="356"/>
      <c r="I1945" s="356"/>
      <c r="J1945" s="479">
        <f>SUM(J1946:J1964)</f>
        <v>0</v>
      </c>
      <c r="K1945" s="479">
        <f t="shared" ref="K1945:M1945" si="197">SUM(K1946:K1964)</f>
        <v>29300</v>
      </c>
      <c r="L1945" s="479">
        <f t="shared" si="197"/>
        <v>5250</v>
      </c>
      <c r="M1945" s="479">
        <f t="shared" si="197"/>
        <v>34550</v>
      </c>
      <c r="N1945" s="475"/>
      <c r="O1945" s="817"/>
      <c r="P1945" s="727"/>
      <c r="Q1945" s="479">
        <f t="shared" ref="Q1945:R1945" si="198">SUM(Q1946:Q1964)</f>
        <v>19000</v>
      </c>
      <c r="R1945" s="479">
        <f t="shared" si="198"/>
        <v>15000</v>
      </c>
      <c r="S1945" s="897"/>
      <c r="T1945" s="897"/>
      <c r="U1945" s="897"/>
      <c r="V1945" s="32" t="s">
        <v>517</v>
      </c>
      <c r="X1945" s="16">
        <f t="shared" si="186"/>
        <v>34550</v>
      </c>
      <c r="Y1945" s="16">
        <f t="shared" si="190"/>
        <v>0</v>
      </c>
    </row>
    <row r="1946" spans="1:269" s="39" customFormat="1" ht="30">
      <c r="B1946" s="862" t="s">
        <v>1370</v>
      </c>
      <c r="C1946" s="482" t="s">
        <v>1371</v>
      </c>
      <c r="D1946" s="483">
        <v>40849</v>
      </c>
      <c r="E1946" s="786" t="s">
        <v>4973</v>
      </c>
      <c r="F1946" s="799" t="s">
        <v>5648</v>
      </c>
      <c r="G1946" s="481"/>
      <c r="H1946" s="484"/>
      <c r="I1946" s="484"/>
      <c r="J1946" s="485"/>
      <c r="K1946" s="485">
        <v>350</v>
      </c>
      <c r="L1946" s="485"/>
      <c r="M1946" s="485">
        <f t="shared" ref="M1946:M1953" si="199">SUM(J1946:L1946)</f>
        <v>350</v>
      </c>
      <c r="N1946" s="715"/>
      <c r="O1946" s="817"/>
      <c r="P1946" s="1137" t="s">
        <v>102</v>
      </c>
      <c r="Q1946" s="524"/>
      <c r="R1946" s="524"/>
      <c r="S1946" s="897"/>
      <c r="T1946" s="897"/>
      <c r="U1946" s="897"/>
      <c r="V1946" s="32" t="s">
        <v>517</v>
      </c>
      <c r="W1946" s="12" t="s">
        <v>1369</v>
      </c>
      <c r="X1946" s="16">
        <f t="shared" si="186"/>
        <v>350</v>
      </c>
      <c r="Y1946" s="16">
        <f t="shared" si="190"/>
        <v>0</v>
      </c>
    </row>
    <row r="1947" spans="1:269" s="39" customFormat="1" ht="30">
      <c r="B1947" s="862" t="s">
        <v>1370</v>
      </c>
      <c r="C1947" s="482" t="s">
        <v>1372</v>
      </c>
      <c r="D1947" s="483">
        <v>40849</v>
      </c>
      <c r="E1947" s="786" t="s">
        <v>4973</v>
      </c>
      <c r="F1947" s="799" t="s">
        <v>5648</v>
      </c>
      <c r="G1947" s="481"/>
      <c r="H1947" s="484"/>
      <c r="I1947" s="484"/>
      <c r="J1947" s="485"/>
      <c r="K1947" s="485">
        <v>2000</v>
      </c>
      <c r="L1947" s="485"/>
      <c r="M1947" s="485">
        <f t="shared" si="199"/>
        <v>2000</v>
      </c>
      <c r="N1947" s="715"/>
      <c r="O1947" s="817"/>
      <c r="P1947" s="1137" t="s">
        <v>102</v>
      </c>
      <c r="Q1947" s="524"/>
      <c r="R1947" s="524"/>
      <c r="S1947" s="897"/>
      <c r="T1947" s="897"/>
      <c r="U1947" s="897"/>
      <c r="V1947" s="32" t="s">
        <v>517</v>
      </c>
      <c r="W1947" s="12" t="s">
        <v>1369</v>
      </c>
      <c r="X1947" s="16">
        <f t="shared" si="186"/>
        <v>2000</v>
      </c>
      <c r="Y1947" s="16">
        <f t="shared" si="190"/>
        <v>0</v>
      </c>
    </row>
    <row r="1948" spans="1:269" s="39" customFormat="1" ht="30">
      <c r="B1948" s="862" t="s">
        <v>1370</v>
      </c>
      <c r="C1948" s="482" t="s">
        <v>1373</v>
      </c>
      <c r="D1948" s="483">
        <v>40857</v>
      </c>
      <c r="E1948" s="786" t="s">
        <v>4973</v>
      </c>
      <c r="F1948" s="799" t="s">
        <v>5648</v>
      </c>
      <c r="G1948" s="481"/>
      <c r="H1948" s="484"/>
      <c r="I1948" s="484"/>
      <c r="J1948" s="485"/>
      <c r="K1948" s="485">
        <v>2350</v>
      </c>
      <c r="L1948" s="485"/>
      <c r="M1948" s="485">
        <f t="shared" si="199"/>
        <v>2350</v>
      </c>
      <c r="N1948" s="715"/>
      <c r="O1948" s="817"/>
      <c r="P1948" s="1137" t="s">
        <v>102</v>
      </c>
      <c r="Q1948" s="524"/>
      <c r="R1948" s="524"/>
      <c r="S1948" s="897"/>
      <c r="T1948" s="897"/>
      <c r="U1948" s="897"/>
      <c r="V1948" s="32" t="s">
        <v>517</v>
      </c>
      <c r="W1948" s="12" t="s">
        <v>1369</v>
      </c>
      <c r="X1948" s="16">
        <f t="shared" si="186"/>
        <v>2350</v>
      </c>
      <c r="Y1948" s="16">
        <f t="shared" si="190"/>
        <v>0</v>
      </c>
    </row>
    <row r="1949" spans="1:269" s="39" customFormat="1" ht="30">
      <c r="B1949" s="862" t="s">
        <v>1370</v>
      </c>
      <c r="C1949" s="482" t="s">
        <v>1374</v>
      </c>
      <c r="D1949" s="483">
        <v>40857</v>
      </c>
      <c r="E1949" s="786" t="s">
        <v>4963</v>
      </c>
      <c r="F1949" s="799" t="s">
        <v>1368</v>
      </c>
      <c r="G1949" s="481"/>
      <c r="H1949" s="484"/>
      <c r="I1949" s="484"/>
      <c r="J1949" s="485"/>
      <c r="K1949" s="485">
        <v>2000</v>
      </c>
      <c r="L1949" s="485"/>
      <c r="M1949" s="485">
        <f t="shared" si="199"/>
        <v>2000</v>
      </c>
      <c r="N1949" s="715"/>
      <c r="O1949" s="817"/>
      <c r="P1949" s="1137" t="s">
        <v>102</v>
      </c>
      <c r="Q1949" s="524"/>
      <c r="R1949" s="524"/>
      <c r="S1949" s="897"/>
      <c r="T1949" s="897"/>
      <c r="U1949" s="897"/>
      <c r="V1949" s="32" t="s">
        <v>517</v>
      </c>
      <c r="W1949" s="12" t="s">
        <v>1369</v>
      </c>
      <c r="X1949" s="16">
        <f t="shared" si="186"/>
        <v>2000</v>
      </c>
      <c r="Y1949" s="16">
        <f t="shared" si="190"/>
        <v>0</v>
      </c>
    </row>
    <row r="1950" spans="1:269" s="39" customFormat="1" ht="30">
      <c r="B1950" s="862" t="s">
        <v>1370</v>
      </c>
      <c r="C1950" s="482" t="s">
        <v>1375</v>
      </c>
      <c r="D1950" s="483">
        <v>40849</v>
      </c>
      <c r="E1950" s="786" t="s">
        <v>4973</v>
      </c>
      <c r="F1950" s="799" t="s">
        <v>5648</v>
      </c>
      <c r="G1950" s="481"/>
      <c r="H1950" s="484"/>
      <c r="I1950" s="484"/>
      <c r="J1950" s="485"/>
      <c r="K1950" s="485">
        <v>2000</v>
      </c>
      <c r="L1950" s="485"/>
      <c r="M1950" s="485">
        <f t="shared" si="199"/>
        <v>2000</v>
      </c>
      <c r="N1950" s="715"/>
      <c r="O1950" s="817"/>
      <c r="P1950" s="1137" t="s">
        <v>102</v>
      </c>
      <c r="Q1950" s="524"/>
      <c r="R1950" s="524"/>
      <c r="S1950" s="897"/>
      <c r="T1950" s="897"/>
      <c r="U1950" s="897"/>
      <c r="V1950" s="32" t="s">
        <v>517</v>
      </c>
      <c r="W1950" s="12" t="s">
        <v>1369</v>
      </c>
      <c r="X1950" s="16">
        <f t="shared" si="186"/>
        <v>2000</v>
      </c>
      <c r="Y1950" s="16">
        <f t="shared" si="190"/>
        <v>0</v>
      </c>
    </row>
    <row r="1951" spans="1:269" s="39" customFormat="1" ht="30">
      <c r="B1951" s="862" t="s">
        <v>1370</v>
      </c>
      <c r="C1951" s="482" t="s">
        <v>1376</v>
      </c>
      <c r="D1951" s="483">
        <v>40849</v>
      </c>
      <c r="E1951" s="786" t="s">
        <v>4973</v>
      </c>
      <c r="F1951" s="799" t="s">
        <v>5648</v>
      </c>
      <c r="G1951" s="481"/>
      <c r="H1951" s="484"/>
      <c r="I1951" s="484"/>
      <c r="J1951" s="485"/>
      <c r="K1951" s="485">
        <v>1000</v>
      </c>
      <c r="L1951" s="485"/>
      <c r="M1951" s="485">
        <f t="shared" si="199"/>
        <v>1000</v>
      </c>
      <c r="N1951" s="715"/>
      <c r="O1951" s="817"/>
      <c r="P1951" s="1137" t="s">
        <v>102</v>
      </c>
      <c r="Q1951" s="524"/>
      <c r="R1951" s="524"/>
      <c r="S1951" s="897"/>
      <c r="T1951" s="897"/>
      <c r="U1951" s="897"/>
      <c r="V1951" s="32" t="s">
        <v>517</v>
      </c>
      <c r="W1951" s="12" t="s">
        <v>1369</v>
      </c>
      <c r="X1951" s="16">
        <f t="shared" si="186"/>
        <v>1000</v>
      </c>
      <c r="Y1951" s="16">
        <f t="shared" si="190"/>
        <v>0</v>
      </c>
    </row>
    <row r="1952" spans="1:269" s="39" customFormat="1" ht="30">
      <c r="B1952" s="862" t="s">
        <v>1370</v>
      </c>
      <c r="C1952" s="482" t="s">
        <v>1377</v>
      </c>
      <c r="D1952" s="483">
        <v>40849</v>
      </c>
      <c r="E1952" s="786" t="s">
        <v>4973</v>
      </c>
      <c r="F1952" s="799" t="s">
        <v>5648</v>
      </c>
      <c r="G1952" s="481"/>
      <c r="H1952" s="484"/>
      <c r="I1952" s="484"/>
      <c r="J1952" s="485"/>
      <c r="K1952" s="485">
        <v>500</v>
      </c>
      <c r="L1952" s="485"/>
      <c r="M1952" s="485">
        <f t="shared" si="199"/>
        <v>500</v>
      </c>
      <c r="N1952" s="715"/>
      <c r="O1952" s="817"/>
      <c r="P1952" s="1137" t="s">
        <v>102</v>
      </c>
      <c r="Q1952" s="524"/>
      <c r="R1952" s="524"/>
      <c r="S1952" s="897"/>
      <c r="T1952" s="897"/>
      <c r="U1952" s="897"/>
      <c r="V1952" s="32" t="s">
        <v>517</v>
      </c>
      <c r="W1952" s="12" t="s">
        <v>1369</v>
      </c>
      <c r="X1952" s="16">
        <f t="shared" si="186"/>
        <v>500</v>
      </c>
      <c r="Y1952" s="16">
        <f t="shared" si="190"/>
        <v>0</v>
      </c>
    </row>
    <row r="1953" spans="1:25" s="39" customFormat="1" ht="30">
      <c r="B1953" s="862" t="s">
        <v>1370</v>
      </c>
      <c r="C1953" s="482" t="s">
        <v>1378</v>
      </c>
      <c r="D1953" s="483">
        <v>40849</v>
      </c>
      <c r="E1953" s="786" t="s">
        <v>4973</v>
      </c>
      <c r="F1953" s="799" t="s">
        <v>5648</v>
      </c>
      <c r="G1953" s="481"/>
      <c r="H1953" s="484"/>
      <c r="I1953" s="484"/>
      <c r="J1953" s="485"/>
      <c r="K1953" s="485">
        <v>150</v>
      </c>
      <c r="L1953" s="485"/>
      <c r="M1953" s="485">
        <f t="shared" si="199"/>
        <v>150</v>
      </c>
      <c r="N1953" s="715"/>
      <c r="O1953" s="817"/>
      <c r="P1953" s="1137" t="s">
        <v>102</v>
      </c>
      <c r="Q1953" s="524"/>
      <c r="R1953" s="524"/>
      <c r="S1953" s="897"/>
      <c r="T1953" s="897"/>
      <c r="U1953" s="897"/>
      <c r="V1953" s="32" t="s">
        <v>517</v>
      </c>
      <c r="W1953" s="12" t="s">
        <v>1369</v>
      </c>
      <c r="X1953" s="16">
        <f t="shared" si="186"/>
        <v>150</v>
      </c>
      <c r="Y1953" s="16">
        <f t="shared" si="190"/>
        <v>0</v>
      </c>
    </row>
    <row r="1954" spans="1:25" s="39" customFormat="1" ht="30">
      <c r="B1954" s="862" t="s">
        <v>1370</v>
      </c>
      <c r="C1954" s="482" t="s">
        <v>1379</v>
      </c>
      <c r="D1954" s="483">
        <v>40899</v>
      </c>
      <c r="E1954" s="786" t="s">
        <v>4973</v>
      </c>
      <c r="F1954" s="799" t="s">
        <v>5648</v>
      </c>
      <c r="G1954" s="481"/>
      <c r="H1954" s="484"/>
      <c r="I1954" s="484"/>
      <c r="J1954" s="485"/>
      <c r="K1954" s="485">
        <v>1000</v>
      </c>
      <c r="L1954" s="485"/>
      <c r="M1954" s="485">
        <f>SUM(J1954:L1954)</f>
        <v>1000</v>
      </c>
      <c r="N1954" s="715"/>
      <c r="O1954" s="817"/>
      <c r="P1954" s="1137" t="s">
        <v>102</v>
      </c>
      <c r="Q1954" s="524"/>
      <c r="R1954" s="524"/>
      <c r="S1954" s="897"/>
      <c r="T1954" s="897"/>
      <c r="U1954" s="897"/>
      <c r="V1954" s="32" t="s">
        <v>517</v>
      </c>
      <c r="W1954" s="12" t="s">
        <v>1369</v>
      </c>
      <c r="X1954" s="16">
        <f t="shared" si="186"/>
        <v>1000</v>
      </c>
      <c r="Y1954" s="16">
        <f t="shared" si="190"/>
        <v>0</v>
      </c>
    </row>
    <row r="1955" spans="1:25" s="39" customFormat="1" ht="30">
      <c r="B1955" s="862" t="s">
        <v>1370</v>
      </c>
      <c r="C1955" s="482" t="s">
        <v>1380</v>
      </c>
      <c r="D1955" s="483">
        <v>40899</v>
      </c>
      <c r="E1955" s="786" t="s">
        <v>4973</v>
      </c>
      <c r="F1955" s="799" t="s">
        <v>5648</v>
      </c>
      <c r="G1955" s="481"/>
      <c r="H1955" s="484"/>
      <c r="I1955" s="484"/>
      <c r="J1955" s="485"/>
      <c r="K1955" s="485">
        <v>1000</v>
      </c>
      <c r="L1955" s="485"/>
      <c r="M1955" s="485">
        <f>SUM(J1955:L1955)</f>
        <v>1000</v>
      </c>
      <c r="N1955" s="715"/>
      <c r="O1955" s="817"/>
      <c r="P1955" s="1137" t="s">
        <v>102</v>
      </c>
      <c r="Q1955" s="524"/>
      <c r="R1955" s="524"/>
      <c r="S1955" s="897"/>
      <c r="T1955" s="897"/>
      <c r="U1955" s="897"/>
      <c r="V1955" s="32" t="s">
        <v>517</v>
      </c>
      <c r="W1955" s="12" t="s">
        <v>1369</v>
      </c>
      <c r="X1955" s="16">
        <f t="shared" si="186"/>
        <v>1000</v>
      </c>
      <c r="Y1955" s="16">
        <f t="shared" si="190"/>
        <v>0</v>
      </c>
    </row>
    <row r="1956" spans="1:25" s="39" customFormat="1" ht="30">
      <c r="B1956" s="862" t="s">
        <v>5798</v>
      </c>
      <c r="C1956" s="482" t="s">
        <v>1381</v>
      </c>
      <c r="D1956" s="483">
        <v>40899</v>
      </c>
      <c r="E1956" s="787" t="s">
        <v>4963</v>
      </c>
      <c r="F1956" s="501" t="s">
        <v>5649</v>
      </c>
      <c r="G1956" s="481"/>
      <c r="H1956" s="486"/>
      <c r="I1956" s="486"/>
      <c r="J1956" s="485"/>
      <c r="K1956" s="485"/>
      <c r="L1956" s="485">
        <v>1000</v>
      </c>
      <c r="M1956" s="485">
        <f>SUM(J1956:L1956)</f>
        <v>1000</v>
      </c>
      <c r="N1956" s="715"/>
      <c r="O1956" s="817"/>
      <c r="P1956" s="1137" t="s">
        <v>102</v>
      </c>
      <c r="Q1956" s="524"/>
      <c r="R1956" s="524"/>
      <c r="S1956" s="897"/>
      <c r="T1956" s="897"/>
      <c r="U1956" s="897"/>
      <c r="V1956" s="32" t="s">
        <v>517</v>
      </c>
      <c r="W1956" s="12" t="s">
        <v>1369</v>
      </c>
      <c r="X1956" s="16">
        <f t="shared" si="186"/>
        <v>1000</v>
      </c>
      <c r="Y1956" s="16">
        <f t="shared" si="190"/>
        <v>0</v>
      </c>
    </row>
    <row r="1957" spans="1:25" s="39" customFormat="1" ht="30">
      <c r="B1957" s="862" t="s">
        <v>1370</v>
      </c>
      <c r="C1957" s="482" t="s">
        <v>1382</v>
      </c>
      <c r="D1957" s="483">
        <v>40879</v>
      </c>
      <c r="E1957" s="786" t="s">
        <v>4973</v>
      </c>
      <c r="F1957" s="799" t="s">
        <v>5648</v>
      </c>
      <c r="G1957" s="481"/>
      <c r="H1957" s="484"/>
      <c r="I1957" s="484"/>
      <c r="J1957" s="485"/>
      <c r="K1957" s="485">
        <v>5000</v>
      </c>
      <c r="L1957" s="485"/>
      <c r="M1957" s="485">
        <f>SUM(J1957:L1957)</f>
        <v>5000</v>
      </c>
      <c r="N1957" s="715"/>
      <c r="O1957" s="817"/>
      <c r="P1957" s="1137" t="s">
        <v>102</v>
      </c>
      <c r="Q1957" s="508">
        <v>5000</v>
      </c>
      <c r="R1957" s="508">
        <v>5000</v>
      </c>
      <c r="S1957" s="899" t="s">
        <v>5026</v>
      </c>
      <c r="T1957" s="897"/>
      <c r="U1957" s="897"/>
      <c r="V1957" s="32" t="s">
        <v>517</v>
      </c>
      <c r="W1957" s="12" t="s">
        <v>1369</v>
      </c>
      <c r="X1957" s="16">
        <f t="shared" si="186"/>
        <v>5000</v>
      </c>
      <c r="Y1957" s="16">
        <f t="shared" si="190"/>
        <v>0</v>
      </c>
    </row>
    <row r="1958" spans="1:25" s="39" customFormat="1" ht="30">
      <c r="B1958" s="862" t="s">
        <v>1370</v>
      </c>
      <c r="C1958" s="482" t="s">
        <v>1383</v>
      </c>
      <c r="D1958" s="483">
        <v>40892</v>
      </c>
      <c r="E1958" s="786" t="s">
        <v>4973</v>
      </c>
      <c r="F1958" s="799" t="s">
        <v>5648</v>
      </c>
      <c r="G1958" s="481"/>
      <c r="H1958" s="484"/>
      <c r="I1958" s="484"/>
      <c r="J1958" s="485"/>
      <c r="K1958" s="485">
        <v>10000</v>
      </c>
      <c r="L1958" s="485"/>
      <c r="M1958" s="485">
        <f>SUM(J1958:L1958)</f>
        <v>10000</v>
      </c>
      <c r="N1958" s="715"/>
      <c r="O1958" s="817"/>
      <c r="P1958" s="1137" t="s">
        <v>102</v>
      </c>
      <c r="Q1958" s="508">
        <v>10000</v>
      </c>
      <c r="R1958" s="508">
        <v>10000</v>
      </c>
      <c r="S1958" s="899" t="s">
        <v>5029</v>
      </c>
      <c r="T1958" s="897"/>
      <c r="U1958" s="897"/>
      <c r="V1958" s="32" t="s">
        <v>517</v>
      </c>
      <c r="W1958" s="12" t="s">
        <v>1369</v>
      </c>
      <c r="X1958" s="16">
        <f t="shared" si="186"/>
        <v>10000</v>
      </c>
      <c r="Y1958" s="16">
        <f t="shared" si="190"/>
        <v>0</v>
      </c>
    </row>
    <row r="1959" spans="1:25" s="39" customFormat="1" ht="31.5" customHeight="1">
      <c r="B1959" s="862" t="s">
        <v>5799</v>
      </c>
      <c r="C1959" s="482" t="s">
        <v>1384</v>
      </c>
      <c r="D1959" s="483">
        <v>40879</v>
      </c>
      <c r="E1959" s="787" t="s">
        <v>4963</v>
      </c>
      <c r="F1959" s="799" t="s">
        <v>5649</v>
      </c>
      <c r="G1959" s="481"/>
      <c r="H1959" s="30"/>
      <c r="I1959" s="30"/>
      <c r="J1959" s="485"/>
      <c r="K1959" s="485"/>
      <c r="L1959" s="485">
        <v>4000</v>
      </c>
      <c r="M1959" s="485">
        <f t="shared" ref="M1959" si="200">SUM(J1959:L1959)</f>
        <v>4000</v>
      </c>
      <c r="N1959" s="715"/>
      <c r="O1959" s="817"/>
      <c r="P1959" s="1137" t="s">
        <v>102</v>
      </c>
      <c r="Q1959" s="508">
        <v>4000</v>
      </c>
      <c r="R1959" s="508" t="s">
        <v>5024</v>
      </c>
      <c r="S1959" s="899" t="s">
        <v>5025</v>
      </c>
      <c r="T1959" s="899"/>
      <c r="U1959" s="899"/>
      <c r="V1959" s="32"/>
      <c r="W1959" s="12" t="s">
        <v>1369</v>
      </c>
      <c r="X1959" s="16">
        <f t="shared" si="186"/>
        <v>4000</v>
      </c>
      <c r="Y1959" s="16">
        <f t="shared" si="190"/>
        <v>0</v>
      </c>
    </row>
    <row r="1960" spans="1:25" s="39" customFormat="1" ht="15.95" customHeight="1">
      <c r="B1960" s="862"/>
      <c r="C1960" s="482"/>
      <c r="D1960" s="483"/>
      <c r="E1960" s="787"/>
      <c r="F1960" s="480"/>
      <c r="G1960" s="481"/>
      <c r="H1960" s="30"/>
      <c r="I1960" s="30"/>
      <c r="J1960" s="485"/>
      <c r="K1960" s="485"/>
      <c r="L1960" s="485"/>
      <c r="M1960" s="485"/>
      <c r="N1960" s="715"/>
      <c r="O1960" s="817"/>
      <c r="P1960" s="1138"/>
      <c r="Q1960" s="524"/>
      <c r="R1960" s="524"/>
      <c r="S1960" s="897"/>
      <c r="T1960" s="897"/>
      <c r="U1960" s="897"/>
      <c r="V1960" s="32" t="s">
        <v>517</v>
      </c>
      <c r="X1960" s="16">
        <f t="shared" si="186"/>
        <v>0</v>
      </c>
      <c r="Y1960" s="16">
        <f t="shared" si="190"/>
        <v>0</v>
      </c>
    </row>
    <row r="1961" spans="1:25" s="39" customFormat="1" ht="30">
      <c r="B1961" s="437" t="s">
        <v>1385</v>
      </c>
      <c r="C1961" s="489" t="s">
        <v>1386</v>
      </c>
      <c r="D1961" s="490">
        <v>40974</v>
      </c>
      <c r="E1961" s="800" t="s">
        <v>4973</v>
      </c>
      <c r="F1961" s="801" t="s">
        <v>5648</v>
      </c>
      <c r="G1961" s="488"/>
      <c r="H1961" s="484"/>
      <c r="I1961" s="484"/>
      <c r="J1961" s="491"/>
      <c r="K1961" s="492">
        <v>500</v>
      </c>
      <c r="L1961" s="492"/>
      <c r="M1961" s="492">
        <f>SUM(K1961:L1961)</f>
        <v>500</v>
      </c>
      <c r="N1961" s="715"/>
      <c r="O1961" s="817"/>
      <c r="P1961" s="1137" t="s">
        <v>102</v>
      </c>
      <c r="Q1961" s="524"/>
      <c r="R1961" s="524"/>
      <c r="S1961" s="897"/>
      <c r="T1961" s="897"/>
      <c r="U1961" s="897"/>
      <c r="V1961" s="32" t="s">
        <v>517</v>
      </c>
      <c r="W1961" s="12" t="s">
        <v>1369</v>
      </c>
      <c r="X1961" s="16">
        <f t="shared" si="186"/>
        <v>500</v>
      </c>
      <c r="Y1961" s="16">
        <f t="shared" si="190"/>
        <v>0</v>
      </c>
    </row>
    <row r="1962" spans="1:25" s="39" customFormat="1" ht="30">
      <c r="B1962" s="862" t="s">
        <v>1370</v>
      </c>
      <c r="C1962" s="489" t="s">
        <v>1387</v>
      </c>
      <c r="D1962" s="490">
        <v>40995</v>
      </c>
      <c r="E1962" s="786" t="s">
        <v>4973</v>
      </c>
      <c r="F1962" s="801" t="s">
        <v>5648</v>
      </c>
      <c r="G1962" s="488"/>
      <c r="H1962" s="484"/>
      <c r="I1962" s="484"/>
      <c r="J1962" s="491"/>
      <c r="K1962" s="492">
        <v>200</v>
      </c>
      <c r="L1962" s="492"/>
      <c r="M1962" s="492">
        <f>SUM(K1962:L1962)</f>
        <v>200</v>
      </c>
      <c r="N1962" s="715"/>
      <c r="O1962" s="817"/>
      <c r="P1962" s="1137" t="s">
        <v>102</v>
      </c>
      <c r="Q1962" s="524"/>
      <c r="R1962" s="524"/>
      <c r="S1962" s="897"/>
      <c r="T1962" s="897"/>
      <c r="U1962" s="897"/>
      <c r="V1962" s="32" t="s">
        <v>517</v>
      </c>
      <c r="W1962" s="12" t="s">
        <v>1369</v>
      </c>
      <c r="X1962" s="16">
        <f t="shared" si="186"/>
        <v>200</v>
      </c>
      <c r="Y1962" s="16">
        <f t="shared" si="190"/>
        <v>0</v>
      </c>
    </row>
    <row r="1963" spans="1:25" s="39" customFormat="1" ht="30">
      <c r="B1963" s="862" t="s">
        <v>1370</v>
      </c>
      <c r="C1963" s="489" t="s">
        <v>1388</v>
      </c>
      <c r="D1963" s="490">
        <v>41016</v>
      </c>
      <c r="E1963" s="786" t="s">
        <v>4973</v>
      </c>
      <c r="F1963" s="801" t="s">
        <v>5648</v>
      </c>
      <c r="G1963" s="488"/>
      <c r="H1963" s="484"/>
      <c r="I1963" s="484"/>
      <c r="J1963" s="491"/>
      <c r="K1963" s="492">
        <v>1000</v>
      </c>
      <c r="L1963" s="492"/>
      <c r="M1963" s="492">
        <f>SUM(K1963:L1963)</f>
        <v>1000</v>
      </c>
      <c r="N1963" s="715"/>
      <c r="O1963" s="817"/>
      <c r="P1963" s="1137" t="s">
        <v>102</v>
      </c>
      <c r="Q1963" s="524"/>
      <c r="R1963" s="524"/>
      <c r="S1963" s="897"/>
      <c r="T1963" s="897"/>
      <c r="U1963" s="897"/>
      <c r="V1963" s="32" t="s">
        <v>517</v>
      </c>
      <c r="W1963" s="12" t="s">
        <v>1369</v>
      </c>
      <c r="X1963" s="16">
        <f t="shared" si="186"/>
        <v>1000</v>
      </c>
      <c r="Y1963" s="16">
        <f t="shared" ref="Y1963:Y1994" si="201">X1963-M1963</f>
        <v>0</v>
      </c>
    </row>
    <row r="1964" spans="1:25" s="39" customFormat="1" ht="30">
      <c r="B1964" s="437" t="s">
        <v>1389</v>
      </c>
      <c r="C1964" s="489" t="s">
        <v>1390</v>
      </c>
      <c r="D1964" s="490">
        <v>41016</v>
      </c>
      <c r="E1964" s="252" t="s">
        <v>4963</v>
      </c>
      <c r="F1964" s="802" t="s">
        <v>1368</v>
      </c>
      <c r="G1964" s="488"/>
      <c r="H1964" s="486"/>
      <c r="I1964" s="486"/>
      <c r="J1964" s="491"/>
      <c r="K1964" s="492">
        <v>250</v>
      </c>
      <c r="L1964" s="492">
        <v>250</v>
      </c>
      <c r="M1964" s="492">
        <f>SUM(K1964:L1964)</f>
        <v>500</v>
      </c>
      <c r="N1964" s="715"/>
      <c r="O1964" s="817"/>
      <c r="P1964" s="1137" t="s">
        <v>102</v>
      </c>
      <c r="Q1964" s="524"/>
      <c r="R1964" s="524"/>
      <c r="S1964" s="897"/>
      <c r="T1964" s="897"/>
      <c r="U1964" s="897"/>
      <c r="V1964" s="32"/>
      <c r="W1964" s="12" t="s">
        <v>1369</v>
      </c>
      <c r="X1964" s="16">
        <f t="shared" si="186"/>
        <v>500</v>
      </c>
      <c r="Y1964" s="16">
        <f t="shared" si="201"/>
        <v>0</v>
      </c>
    </row>
    <row r="1965" spans="1:25" s="30" customFormat="1" ht="15">
      <c r="A1965" s="112"/>
      <c r="B1965" s="437"/>
      <c r="C1965" s="489"/>
      <c r="D1965" s="490"/>
      <c r="E1965" s="252"/>
      <c r="F1965" s="487"/>
      <c r="G1965" s="488"/>
      <c r="H1965" s="486"/>
      <c r="I1965" s="486"/>
      <c r="J1965" s="491"/>
      <c r="K1965" s="492"/>
      <c r="L1965" s="492"/>
      <c r="M1965" s="492"/>
      <c r="N1965" s="715"/>
      <c r="O1965" s="818"/>
      <c r="P1965" s="1138"/>
      <c r="Q1965" s="524"/>
      <c r="R1965" s="524"/>
      <c r="S1965" s="898"/>
      <c r="T1965" s="898"/>
      <c r="U1965" s="898"/>
      <c r="V1965" s="32"/>
      <c r="W1965" s="43"/>
      <c r="X1965" s="16">
        <f t="shared" si="186"/>
        <v>0</v>
      </c>
      <c r="Y1965" s="16">
        <f t="shared" si="201"/>
        <v>0</v>
      </c>
    </row>
    <row r="1966" spans="1:25" s="30" customFormat="1" ht="15" customHeight="1">
      <c r="A1966" s="112"/>
      <c r="B1966" s="1031" t="s">
        <v>1391</v>
      </c>
      <c r="C1966" s="43"/>
      <c r="D1966" s="718"/>
      <c r="E1966" s="32"/>
      <c r="H1966" s="717"/>
      <c r="I1966" s="717"/>
      <c r="J1966" s="479">
        <f t="shared" ref="J1966" si="202">J1967</f>
        <v>0</v>
      </c>
      <c r="K1966" s="479">
        <f>K1967</f>
        <v>1000</v>
      </c>
      <c r="L1966" s="479">
        <f t="shared" ref="L1966:M1966" si="203">L1967</f>
        <v>0</v>
      </c>
      <c r="M1966" s="479">
        <f t="shared" si="203"/>
        <v>1000</v>
      </c>
      <c r="N1966" s="716"/>
      <c r="O1966" s="818"/>
      <c r="P1966" s="43"/>
      <c r="Q1966" s="479">
        <f t="shared" ref="Q1966:R1966" si="204">Q1967</f>
        <v>1000</v>
      </c>
      <c r="R1966" s="479">
        <f t="shared" si="204"/>
        <v>1000</v>
      </c>
      <c r="S1966" s="898"/>
      <c r="T1966" s="898"/>
      <c r="U1966" s="898"/>
      <c r="V1966" s="476" t="s">
        <v>517</v>
      </c>
      <c r="X1966" s="16">
        <f t="shared" si="186"/>
        <v>1000</v>
      </c>
      <c r="Y1966" s="16">
        <f t="shared" si="201"/>
        <v>0</v>
      </c>
    </row>
    <row r="1967" spans="1:25" s="30" customFormat="1" ht="15">
      <c r="A1967" s="112"/>
      <c r="B1967" s="863" t="s">
        <v>1393</v>
      </c>
      <c r="C1967" s="482" t="s">
        <v>1394</v>
      </c>
      <c r="D1967" s="483">
        <v>40879</v>
      </c>
      <c r="E1967" s="786" t="s">
        <v>2869</v>
      </c>
      <c r="F1967" s="185" t="s">
        <v>5649</v>
      </c>
      <c r="G1967" s="481"/>
      <c r="H1967" s="717">
        <v>157656</v>
      </c>
      <c r="I1967" s="717"/>
      <c r="J1967" s="485"/>
      <c r="K1967" s="485">
        <v>1000</v>
      </c>
      <c r="L1967" s="485"/>
      <c r="M1967" s="485">
        <f>SUM(J1967:L1967)</f>
        <v>1000</v>
      </c>
      <c r="N1967" s="716">
        <f>M1967+H1967</f>
        <v>158656</v>
      </c>
      <c r="O1967" s="819"/>
      <c r="P1967" s="1137" t="s">
        <v>102</v>
      </c>
      <c r="Q1967" s="508">
        <v>1000</v>
      </c>
      <c r="R1967" s="508">
        <v>1000</v>
      </c>
      <c r="S1967" s="1386" t="s">
        <v>5027</v>
      </c>
      <c r="T1967" s="1386"/>
      <c r="U1967" s="1386"/>
      <c r="V1967" s="43"/>
      <c r="W1967" s="12" t="s">
        <v>1392</v>
      </c>
      <c r="X1967" s="16">
        <f t="shared" si="186"/>
        <v>1000</v>
      </c>
      <c r="Y1967" s="16">
        <f t="shared" si="201"/>
        <v>0</v>
      </c>
    </row>
    <row r="1968" spans="1:25" s="30" customFormat="1" ht="15">
      <c r="A1968" s="112"/>
      <c r="B1968" s="715"/>
      <c r="C1968" s="43"/>
      <c r="D1968" s="718"/>
      <c r="E1968" s="32"/>
      <c r="H1968" s="717"/>
      <c r="I1968" s="717"/>
      <c r="K1968" s="715"/>
      <c r="L1968" s="715"/>
      <c r="M1968" s="715"/>
      <c r="N1968" s="715"/>
      <c r="O1968" s="818"/>
      <c r="P1968" s="32"/>
      <c r="Q1968" s="524"/>
      <c r="R1968" s="524"/>
      <c r="S1968" s="898"/>
      <c r="T1968" s="898"/>
      <c r="U1968" s="898"/>
      <c r="V1968" s="43"/>
      <c r="W1968" s="31"/>
      <c r="X1968" s="16">
        <f t="shared" si="186"/>
        <v>0</v>
      </c>
      <c r="Y1968" s="16">
        <f t="shared" si="201"/>
        <v>0</v>
      </c>
    </row>
    <row r="1969" spans="1:25" s="30" customFormat="1" ht="15" customHeight="1">
      <c r="A1969" s="112"/>
      <c r="B1969" s="1031" t="s">
        <v>1395</v>
      </c>
      <c r="C1969" s="43"/>
      <c r="D1969" s="718"/>
      <c r="E1969" s="32"/>
      <c r="H1969" s="717"/>
      <c r="I1969" s="717"/>
      <c r="J1969" s="479">
        <f>J1970</f>
        <v>0</v>
      </c>
      <c r="K1969" s="479">
        <f t="shared" ref="K1969:M1969" si="205">K1970</f>
        <v>1000</v>
      </c>
      <c r="L1969" s="479">
        <f t="shared" si="205"/>
        <v>0</v>
      </c>
      <c r="M1969" s="479">
        <f t="shared" si="205"/>
        <v>1000</v>
      </c>
      <c r="N1969" s="716"/>
      <c r="O1969" s="818"/>
      <c r="P1969" s="32"/>
      <c r="Q1969" s="479">
        <f t="shared" ref="Q1969:R1969" si="206">Q1970</f>
        <v>1000</v>
      </c>
      <c r="R1969" s="479">
        <f t="shared" si="206"/>
        <v>670</v>
      </c>
      <c r="S1969" s="898"/>
      <c r="T1969" s="898"/>
      <c r="U1969" s="898"/>
      <c r="V1969" s="43" t="s">
        <v>517</v>
      </c>
      <c r="X1969" s="16">
        <f t="shared" si="186"/>
        <v>1000</v>
      </c>
      <c r="Y1969" s="16">
        <f t="shared" si="201"/>
        <v>0</v>
      </c>
    </row>
    <row r="1970" spans="1:25" s="39" customFormat="1" ht="41.25" customHeight="1">
      <c r="B1970" s="863" t="s">
        <v>1393</v>
      </c>
      <c r="C1970" s="482" t="s">
        <v>1397</v>
      </c>
      <c r="D1970" s="483">
        <v>40879</v>
      </c>
      <c r="E1970" s="786" t="s">
        <v>2869</v>
      </c>
      <c r="F1970" s="185" t="s">
        <v>5649</v>
      </c>
      <c r="G1970" s="493"/>
      <c r="H1970" s="719">
        <v>433743</v>
      </c>
      <c r="I1970" s="719"/>
      <c r="J1970" s="496"/>
      <c r="K1970" s="496">
        <v>1000</v>
      </c>
      <c r="L1970" s="496"/>
      <c r="M1970" s="485">
        <f>SUM(J1970:L1970)</f>
        <v>1000</v>
      </c>
      <c r="N1970" s="716">
        <f>M1970+H1970</f>
        <v>434743</v>
      </c>
      <c r="O1970" s="23"/>
      <c r="P1970" s="1137" t="s">
        <v>102</v>
      </c>
      <c r="Q1970" s="216">
        <v>1000</v>
      </c>
      <c r="R1970" s="216">
        <v>670</v>
      </c>
      <c r="S1970" s="1387" t="s">
        <v>5028</v>
      </c>
      <c r="T1970" s="1387"/>
      <c r="U1970" s="1387"/>
      <c r="V1970" s="22"/>
      <c r="W1970" s="12" t="s">
        <v>1396</v>
      </c>
      <c r="X1970" s="16">
        <f t="shared" si="186"/>
        <v>1000</v>
      </c>
      <c r="Y1970" s="16">
        <f t="shared" si="201"/>
        <v>0</v>
      </c>
    </row>
    <row r="1971" spans="1:25" s="39" customFormat="1" ht="15.95" customHeight="1">
      <c r="B1971" s="21"/>
      <c r="C1971" s="23"/>
      <c r="D1971" s="380"/>
      <c r="E1971" s="23"/>
      <c r="F1971" s="22"/>
      <c r="G1971" s="22"/>
      <c r="H1971" s="22"/>
      <c r="I1971" s="22"/>
      <c r="J1971" s="22"/>
      <c r="K1971" s="22"/>
      <c r="L1971" s="22"/>
      <c r="M1971" s="22"/>
      <c r="N1971" s="22"/>
      <c r="O1971" s="23"/>
      <c r="P1971" s="165"/>
      <c r="Q1971" s="216"/>
      <c r="R1971" s="216"/>
      <c r="S1971" s="877"/>
      <c r="T1971" s="877"/>
      <c r="U1971" s="877"/>
      <c r="V1971" s="22"/>
      <c r="X1971" s="16">
        <f t="shared" si="186"/>
        <v>0</v>
      </c>
      <c r="Y1971" s="16">
        <f t="shared" si="201"/>
        <v>0</v>
      </c>
    </row>
    <row r="1972" spans="1:25" s="30" customFormat="1" ht="15">
      <c r="A1972" s="112"/>
      <c r="B1972" s="470" t="s">
        <v>1398</v>
      </c>
      <c r="C1972" s="23"/>
      <c r="D1972" s="380"/>
      <c r="E1972" s="23"/>
      <c r="F1972" s="22"/>
      <c r="G1972" s="22"/>
      <c r="H1972" s="22"/>
      <c r="I1972" s="22"/>
      <c r="J1972" s="36">
        <f>J1973+J1976</f>
        <v>0</v>
      </c>
      <c r="K1972" s="36">
        <f t="shared" ref="K1972:M1972" si="207">K1973+K1976</f>
        <v>2000</v>
      </c>
      <c r="L1972" s="36">
        <f t="shared" si="207"/>
        <v>0</v>
      </c>
      <c r="M1972" s="36">
        <f t="shared" si="207"/>
        <v>2000</v>
      </c>
      <c r="N1972" s="22"/>
      <c r="O1972" s="32"/>
      <c r="P1972" s="165"/>
      <c r="Q1972" s="36">
        <f t="shared" ref="Q1972:R1972" si="208">Q1973+Q1976</f>
        <v>1000</v>
      </c>
      <c r="R1972" s="36">
        <f t="shared" si="208"/>
        <v>1000</v>
      </c>
      <c r="S1972" s="883"/>
      <c r="T1972" s="883"/>
      <c r="U1972" s="883"/>
      <c r="X1972" s="16">
        <f t="shared" si="186"/>
        <v>2000</v>
      </c>
      <c r="Y1972" s="16">
        <f t="shared" si="201"/>
        <v>0</v>
      </c>
    </row>
    <row r="1973" spans="1:25" s="30" customFormat="1" ht="15">
      <c r="A1973" s="112"/>
      <c r="B1973" s="870" t="s">
        <v>1399</v>
      </c>
      <c r="C1973" s="43"/>
      <c r="D1973" s="718"/>
      <c r="E1973" s="32"/>
      <c r="H1973" s="720"/>
      <c r="J1973" s="479">
        <f t="shared" ref="J1973" si="209">J1974</f>
        <v>0</v>
      </c>
      <c r="K1973" s="479">
        <f>K1974</f>
        <v>1000</v>
      </c>
      <c r="L1973" s="479">
        <f t="shared" ref="L1973:M1973" si="210">L1974</f>
        <v>0</v>
      </c>
      <c r="M1973" s="479">
        <f t="shared" si="210"/>
        <v>1000</v>
      </c>
      <c r="N1973" s="716"/>
      <c r="O1973" s="1138"/>
      <c r="P1973" s="43"/>
      <c r="Q1973" s="479">
        <f t="shared" ref="Q1973:R1973" si="211">Q1974</f>
        <v>0</v>
      </c>
      <c r="R1973" s="479">
        <f t="shared" si="211"/>
        <v>0</v>
      </c>
      <c r="S1973" s="883"/>
      <c r="T1973" s="883"/>
      <c r="U1973" s="883"/>
      <c r="X1973" s="16">
        <f t="shared" si="186"/>
        <v>1000</v>
      </c>
      <c r="Y1973" s="16">
        <f t="shared" si="201"/>
        <v>0</v>
      </c>
    </row>
    <row r="1974" spans="1:25" s="39" customFormat="1" ht="15.95" customHeight="1">
      <c r="B1974" s="863" t="s">
        <v>1393</v>
      </c>
      <c r="C1974" s="482" t="s">
        <v>1400</v>
      </c>
      <c r="D1974" s="483">
        <v>40884</v>
      </c>
      <c r="E1974" s="786" t="s">
        <v>2869</v>
      </c>
      <c r="F1974" s="1181" t="s">
        <v>5649</v>
      </c>
      <c r="G1974" s="498"/>
      <c r="H1974" s="717">
        <v>178925</v>
      </c>
      <c r="I1974" s="30"/>
      <c r="J1974" s="485"/>
      <c r="K1974" s="485">
        <v>1000</v>
      </c>
      <c r="L1974" s="485"/>
      <c r="M1974" s="485">
        <f t="shared" ref="M1974" si="212">SUM(J1974:L1974)</f>
        <v>1000</v>
      </c>
      <c r="N1974" s="716">
        <f>M1974+H1974</f>
        <v>179925</v>
      </c>
      <c r="O1974" s="23"/>
      <c r="P1974" s="43"/>
      <c r="Q1974" s="216"/>
      <c r="R1974" s="216"/>
      <c r="S1974" s="1346" t="s">
        <v>5806</v>
      </c>
      <c r="T1974" s="1346"/>
      <c r="U1974" s="1346"/>
      <c r="V1974" s="22"/>
      <c r="X1974" s="16">
        <f t="shared" si="186"/>
        <v>1000</v>
      </c>
      <c r="Y1974" s="16">
        <f t="shared" si="201"/>
        <v>0</v>
      </c>
    </row>
    <row r="1975" spans="1:25" s="30" customFormat="1" ht="15">
      <c r="A1975" s="112"/>
      <c r="B1975" s="21"/>
      <c r="C1975" s="23"/>
      <c r="D1975" s="380"/>
      <c r="E1975" s="23"/>
      <c r="F1975" s="22"/>
      <c r="G1975" s="22"/>
      <c r="H1975" s="22"/>
      <c r="I1975" s="22"/>
      <c r="J1975" s="22"/>
      <c r="K1975" s="22"/>
      <c r="L1975" s="22"/>
      <c r="M1975" s="22"/>
      <c r="N1975" s="22"/>
      <c r="O1975" s="818"/>
      <c r="P1975" s="165"/>
      <c r="Q1975" s="524"/>
      <c r="R1975" s="524"/>
      <c r="S1975" s="898"/>
      <c r="T1975" s="898"/>
      <c r="U1975" s="898"/>
      <c r="V1975" s="32"/>
      <c r="W1975" s="43"/>
      <c r="X1975" s="16">
        <f t="shared" si="186"/>
        <v>0</v>
      </c>
      <c r="Y1975" s="16">
        <f t="shared" si="201"/>
        <v>0</v>
      </c>
    </row>
    <row r="1976" spans="1:25" s="30" customFormat="1" ht="15">
      <c r="A1976" s="112"/>
      <c r="B1976" s="870" t="s">
        <v>1401</v>
      </c>
      <c r="C1976" s="43"/>
      <c r="D1976" s="718"/>
      <c r="E1976" s="32"/>
      <c r="H1976" s="717"/>
      <c r="I1976" s="717"/>
      <c r="J1976" s="479">
        <f>J1977</f>
        <v>0</v>
      </c>
      <c r="K1976" s="479">
        <f t="shared" ref="K1976:M1976" si="213">K1977</f>
        <v>1000</v>
      </c>
      <c r="L1976" s="479">
        <f t="shared" si="213"/>
        <v>0</v>
      </c>
      <c r="M1976" s="479">
        <f t="shared" si="213"/>
        <v>1000</v>
      </c>
      <c r="N1976" s="716"/>
      <c r="O1976" s="820"/>
      <c r="P1976" s="43"/>
      <c r="Q1976" s="900">
        <f>Q1977</f>
        <v>1000</v>
      </c>
      <c r="R1976" s="900">
        <f>R1977</f>
        <v>1000</v>
      </c>
      <c r="S1976" s="894"/>
      <c r="T1976" s="894"/>
      <c r="U1976" s="894"/>
      <c r="V1976" s="32" t="s">
        <v>517</v>
      </c>
      <c r="X1976" s="16">
        <f t="shared" si="186"/>
        <v>1000</v>
      </c>
      <c r="Y1976" s="16">
        <f t="shared" si="201"/>
        <v>0</v>
      </c>
    </row>
    <row r="1977" spans="1:25" s="30" customFormat="1" ht="15">
      <c r="A1977" s="112"/>
      <c r="B1977" s="701" t="s">
        <v>22</v>
      </c>
      <c r="C1977" s="482" t="s">
        <v>1403</v>
      </c>
      <c r="D1977" s="483">
        <v>40884</v>
      </c>
      <c r="E1977" s="803" t="s">
        <v>2869</v>
      </c>
      <c r="F1977" s="1181" t="s">
        <v>5649</v>
      </c>
      <c r="G1977" s="498"/>
      <c r="H1977" s="519">
        <v>108241</v>
      </c>
      <c r="I1977" s="519"/>
      <c r="J1977" s="485"/>
      <c r="K1977" s="485">
        <v>1000</v>
      </c>
      <c r="L1977" s="485"/>
      <c r="M1977" s="485">
        <f t="shared" ref="M1977" si="214">SUM(J1977:L1977)</f>
        <v>1000</v>
      </c>
      <c r="N1977" s="721">
        <f>M1977+H1977</f>
        <v>109241</v>
      </c>
      <c r="O1977" s="820"/>
      <c r="P1977" s="1137" t="s">
        <v>102</v>
      </c>
      <c r="Q1977" s="730">
        <v>1000</v>
      </c>
      <c r="R1977" s="730">
        <v>1000</v>
      </c>
      <c r="S1977" s="894" t="s">
        <v>4631</v>
      </c>
      <c r="T1977" s="894"/>
      <c r="U1977" s="894"/>
      <c r="V1977" s="32"/>
      <c r="W1977" s="14" t="s">
        <v>1402</v>
      </c>
      <c r="X1977" s="16">
        <f t="shared" si="186"/>
        <v>1000</v>
      </c>
      <c r="Y1977" s="16">
        <f t="shared" si="201"/>
        <v>0</v>
      </c>
    </row>
    <row r="1978" spans="1:25" s="30" customFormat="1" ht="15">
      <c r="A1978" s="112"/>
      <c r="B1978" s="499"/>
      <c r="C1978" s="482"/>
      <c r="D1978" s="483"/>
      <c r="E1978" s="788"/>
      <c r="F1978" s="498"/>
      <c r="G1978" s="498"/>
      <c r="H1978" s="519"/>
      <c r="I1978" s="519"/>
      <c r="J1978" s="485"/>
      <c r="K1978" s="485"/>
      <c r="L1978" s="485"/>
      <c r="M1978" s="485"/>
      <c r="N1978" s="721"/>
      <c r="O1978" s="820"/>
      <c r="P1978" s="1137"/>
      <c r="Q1978" s="508"/>
      <c r="R1978" s="508"/>
      <c r="S1978" s="894"/>
      <c r="T1978" s="894"/>
      <c r="U1978" s="894"/>
      <c r="V1978" s="32"/>
      <c r="W1978" s="14"/>
      <c r="X1978" s="16">
        <f t="shared" si="186"/>
        <v>0</v>
      </c>
      <c r="Y1978" s="16">
        <f t="shared" si="201"/>
        <v>0</v>
      </c>
    </row>
    <row r="1979" spans="1:25" s="30" customFormat="1" ht="15">
      <c r="A1979" s="112"/>
      <c r="B1979" s="470" t="s">
        <v>1404</v>
      </c>
      <c r="C1979" s="482"/>
      <c r="D1979" s="483"/>
      <c r="E1979" s="23"/>
      <c r="F1979" s="498"/>
      <c r="G1979" s="498"/>
      <c r="H1979" s="519"/>
      <c r="I1979" s="519"/>
      <c r="J1979" s="500">
        <f>J1980</f>
        <v>0</v>
      </c>
      <c r="K1979" s="500">
        <f t="shared" ref="K1979:M1980" si="215">K1980</f>
        <v>250</v>
      </c>
      <c r="L1979" s="500">
        <f t="shared" si="215"/>
        <v>0</v>
      </c>
      <c r="M1979" s="500">
        <f t="shared" si="215"/>
        <v>250</v>
      </c>
      <c r="N1979" s="721"/>
      <c r="O1979" s="818"/>
      <c r="P1979" s="1137"/>
      <c r="Q1979" s="500">
        <f t="shared" ref="Q1979:R1980" si="216">Q1980</f>
        <v>250</v>
      </c>
      <c r="R1979" s="500">
        <f t="shared" si="216"/>
        <v>250</v>
      </c>
      <c r="S1979" s="898"/>
      <c r="T1979" s="898"/>
      <c r="U1979" s="898"/>
      <c r="V1979" s="32"/>
      <c r="W1979" s="43"/>
      <c r="X1979" s="16">
        <f t="shared" si="186"/>
        <v>250</v>
      </c>
      <c r="Y1979" s="16">
        <f t="shared" si="201"/>
        <v>0</v>
      </c>
    </row>
    <row r="1980" spans="1:25" s="30" customFormat="1" ht="15">
      <c r="A1980" s="112"/>
      <c r="B1980" s="870" t="s">
        <v>1405</v>
      </c>
      <c r="C1980" s="43"/>
      <c r="D1980" s="718"/>
      <c r="E1980" s="32"/>
      <c r="H1980" s="717"/>
      <c r="I1980" s="717"/>
      <c r="J1980" s="479">
        <f t="shared" ref="J1980" si="217">J1981</f>
        <v>0</v>
      </c>
      <c r="K1980" s="479">
        <f>K1981</f>
        <v>250</v>
      </c>
      <c r="L1980" s="479">
        <f t="shared" si="215"/>
        <v>0</v>
      </c>
      <c r="M1980" s="479">
        <f t="shared" si="215"/>
        <v>250</v>
      </c>
      <c r="N1980" s="716"/>
      <c r="O1980" s="820"/>
      <c r="P1980" s="43"/>
      <c r="Q1980" s="479">
        <f t="shared" si="216"/>
        <v>250</v>
      </c>
      <c r="R1980" s="479">
        <f t="shared" si="216"/>
        <v>250</v>
      </c>
      <c r="S1980" s="894"/>
      <c r="T1980" s="894"/>
      <c r="U1980" s="894"/>
      <c r="V1980" s="32" t="s">
        <v>517</v>
      </c>
      <c r="X1980" s="16">
        <f t="shared" si="186"/>
        <v>250</v>
      </c>
      <c r="Y1980" s="16">
        <f t="shared" si="201"/>
        <v>0</v>
      </c>
    </row>
    <row r="1981" spans="1:25" s="30" customFormat="1" ht="15">
      <c r="A1981" s="112"/>
      <c r="B1981" s="863" t="s">
        <v>1393</v>
      </c>
      <c r="C1981" s="482" t="s">
        <v>1407</v>
      </c>
      <c r="D1981" s="483">
        <v>40857</v>
      </c>
      <c r="E1981" s="1182" t="s">
        <v>3044</v>
      </c>
      <c r="F1981" s="487" t="s">
        <v>5649</v>
      </c>
      <c r="G1981" s="481"/>
      <c r="H1981" s="519">
        <v>15759</v>
      </c>
      <c r="I1981" s="519"/>
      <c r="J1981" s="485"/>
      <c r="K1981" s="485">
        <v>250</v>
      </c>
      <c r="L1981" s="485"/>
      <c r="M1981" s="485">
        <f t="shared" ref="M1981" si="218">SUM(J1981:L1981)</f>
        <v>250</v>
      </c>
      <c r="N1981" s="721">
        <f>M1981+H1981</f>
        <v>16009</v>
      </c>
      <c r="O1981" s="820"/>
      <c r="P1981" s="1137" t="s">
        <v>102</v>
      </c>
      <c r="Q1981" s="508">
        <v>250</v>
      </c>
      <c r="R1981" s="508">
        <v>250</v>
      </c>
      <c r="S1981" s="894" t="s">
        <v>1408</v>
      </c>
      <c r="T1981" s="894"/>
      <c r="U1981" s="894"/>
      <c r="V1981" s="32"/>
      <c r="W1981" s="31" t="s">
        <v>1406</v>
      </c>
      <c r="X1981" s="16">
        <f t="shared" si="186"/>
        <v>250</v>
      </c>
      <c r="Y1981" s="16">
        <f t="shared" si="201"/>
        <v>0</v>
      </c>
    </row>
    <row r="1982" spans="1:25" s="30" customFormat="1" ht="15">
      <c r="A1982" s="112"/>
      <c r="B1982" s="863"/>
      <c r="C1982" s="482"/>
      <c r="D1982" s="483"/>
      <c r="E1982" s="786"/>
      <c r="F1982" s="487"/>
      <c r="G1982" s="481"/>
      <c r="H1982" s="519"/>
      <c r="I1982" s="519"/>
      <c r="J1982" s="485"/>
      <c r="K1982" s="485"/>
      <c r="L1982" s="485"/>
      <c r="M1982" s="485"/>
      <c r="N1982" s="721"/>
      <c r="O1982" s="820"/>
      <c r="P1982" s="1137"/>
      <c r="Q1982" s="508"/>
      <c r="R1982" s="508"/>
      <c r="S1982" s="894"/>
      <c r="T1982" s="894"/>
      <c r="U1982" s="894"/>
      <c r="V1982" s="32"/>
      <c r="W1982" s="31"/>
      <c r="X1982" s="16">
        <f t="shared" si="186"/>
        <v>0</v>
      </c>
      <c r="Y1982" s="16">
        <f t="shared" si="201"/>
        <v>0</v>
      </c>
    </row>
    <row r="1983" spans="1:25" s="30" customFormat="1" ht="15">
      <c r="A1983" s="112"/>
      <c r="B1983" s="864" t="s">
        <v>1409</v>
      </c>
      <c r="C1983" s="482"/>
      <c r="D1983" s="483"/>
      <c r="E1983" s="786"/>
      <c r="F1983" s="487"/>
      <c r="G1983" s="481"/>
      <c r="H1983" s="519"/>
      <c r="I1983" s="519"/>
      <c r="J1983" s="500">
        <f>J1984+J1987+J1991+J1994+J1997+J2000</f>
        <v>0</v>
      </c>
      <c r="K1983" s="500">
        <f t="shared" ref="K1983:M1983" si="219">K1984+K1987+K1991+K1994+K1997+K2000</f>
        <v>17200</v>
      </c>
      <c r="L1983" s="500">
        <f t="shared" si="219"/>
        <v>0</v>
      </c>
      <c r="M1983" s="500">
        <f t="shared" si="219"/>
        <v>17200</v>
      </c>
      <c r="N1983" s="721"/>
      <c r="O1983" s="818"/>
      <c r="P1983" s="32"/>
      <c r="Q1983" s="500">
        <f t="shared" ref="Q1983:R1983" si="220">Q1984+Q1987+Q1991+Q1994+Q1997+Q2000</f>
        <v>16700</v>
      </c>
      <c r="R1983" s="500">
        <f t="shared" si="220"/>
        <v>15422</v>
      </c>
      <c r="S1983" s="898"/>
      <c r="T1983" s="898"/>
      <c r="U1983" s="898"/>
      <c r="V1983" s="32"/>
      <c r="W1983" s="43"/>
      <c r="X1983" s="16">
        <f t="shared" si="186"/>
        <v>17200</v>
      </c>
      <c r="Y1983" s="16">
        <f t="shared" si="201"/>
        <v>0</v>
      </c>
    </row>
    <row r="1984" spans="1:25" s="30" customFormat="1" ht="15">
      <c r="A1984" s="112"/>
      <c r="B1984" s="1031" t="s">
        <v>1410</v>
      </c>
      <c r="C1984" s="43"/>
      <c r="D1984" s="718"/>
      <c r="E1984" s="32"/>
      <c r="H1984" s="717"/>
      <c r="I1984" s="717"/>
      <c r="J1984" s="479">
        <f t="shared" ref="J1984" si="221">J1985</f>
        <v>0</v>
      </c>
      <c r="K1984" s="479">
        <f>K1985</f>
        <v>1000</v>
      </c>
      <c r="L1984" s="479">
        <f t="shared" ref="L1984:M1984" si="222">L1985</f>
        <v>0</v>
      </c>
      <c r="M1984" s="479">
        <f t="shared" si="222"/>
        <v>1000</v>
      </c>
      <c r="N1984" s="716"/>
      <c r="O1984" s="820"/>
      <c r="P1984" s="43"/>
      <c r="Q1984" s="479">
        <f t="shared" ref="Q1984:R1984" si="223">Q1985</f>
        <v>1000</v>
      </c>
      <c r="R1984" s="479">
        <f t="shared" si="223"/>
        <v>1000</v>
      </c>
      <c r="S1984" s="894"/>
      <c r="T1984" s="894"/>
      <c r="U1984" s="894"/>
      <c r="V1984" s="32" t="s">
        <v>517</v>
      </c>
      <c r="X1984" s="16">
        <f t="shared" si="186"/>
        <v>1000</v>
      </c>
      <c r="Y1984" s="16">
        <f t="shared" si="201"/>
        <v>0</v>
      </c>
    </row>
    <row r="1985" spans="1:25" s="39" customFormat="1" ht="15.95" customHeight="1">
      <c r="B1985" s="863" t="s">
        <v>1393</v>
      </c>
      <c r="C1985" s="482" t="s">
        <v>1412</v>
      </c>
      <c r="D1985" s="483">
        <v>40884</v>
      </c>
      <c r="E1985" s="786" t="s">
        <v>2869</v>
      </c>
      <c r="F1985" s="1181" t="s">
        <v>5649</v>
      </c>
      <c r="G1985" s="498"/>
      <c r="H1985" s="717">
        <v>133836</v>
      </c>
      <c r="I1985" s="717"/>
      <c r="J1985" s="485"/>
      <c r="K1985" s="485">
        <v>1000</v>
      </c>
      <c r="L1985" s="485"/>
      <c r="M1985" s="485">
        <f t="shared" ref="M1985" si="224">SUM(J1985:L1985)</f>
        <v>1000</v>
      </c>
      <c r="N1985" s="721">
        <f>M1985+H1985</f>
        <v>134836</v>
      </c>
      <c r="O1985" s="23"/>
      <c r="P1985" s="1137" t="s">
        <v>102</v>
      </c>
      <c r="Q1985" s="216">
        <v>1000</v>
      </c>
      <c r="R1985" s="216">
        <v>1000</v>
      </c>
      <c r="S1985" s="877" t="s">
        <v>1413</v>
      </c>
      <c r="T1985" s="877"/>
      <c r="U1985" s="877"/>
      <c r="V1985" s="22"/>
      <c r="W1985" s="31" t="s">
        <v>1411</v>
      </c>
      <c r="X1985" s="16">
        <f t="shared" si="186"/>
        <v>1000</v>
      </c>
      <c r="Y1985" s="16">
        <f t="shared" si="201"/>
        <v>0</v>
      </c>
    </row>
    <row r="1986" spans="1:25" s="30" customFormat="1" ht="15">
      <c r="A1986" s="112"/>
      <c r="B1986" s="21"/>
      <c r="C1986" s="23"/>
      <c r="D1986" s="380"/>
      <c r="E1986" s="23"/>
      <c r="F1986" s="22"/>
      <c r="G1986" s="22"/>
      <c r="H1986" s="22"/>
      <c r="I1986" s="22"/>
      <c r="J1986" s="22"/>
      <c r="K1986" s="22"/>
      <c r="L1986" s="22"/>
      <c r="M1986" s="22"/>
      <c r="N1986" s="22"/>
      <c r="O1986" s="820"/>
      <c r="P1986" s="165"/>
      <c r="Q1986" s="508"/>
      <c r="R1986" s="508"/>
      <c r="S1986" s="894"/>
      <c r="T1986" s="894"/>
      <c r="U1986" s="894"/>
      <c r="V1986" s="32"/>
      <c r="W1986" s="31"/>
      <c r="X1986" s="16">
        <f t="shared" si="186"/>
        <v>0</v>
      </c>
      <c r="Y1986" s="16">
        <f t="shared" si="201"/>
        <v>0</v>
      </c>
    </row>
    <row r="1987" spans="1:25" s="30" customFormat="1" ht="15">
      <c r="A1987" s="112"/>
      <c r="B1987" s="1031" t="s">
        <v>1414</v>
      </c>
      <c r="C1987" s="43"/>
      <c r="D1987" s="718"/>
      <c r="E1987" s="32"/>
      <c r="F1987" s="487"/>
      <c r="H1987" s="717">
        <v>125814</v>
      </c>
      <c r="I1987" s="717"/>
      <c r="J1987" s="479">
        <f>J1988+J1989</f>
        <v>0</v>
      </c>
      <c r="K1987" s="479">
        <f t="shared" ref="K1987:M1987" si="225">K1988+K1989</f>
        <v>5000</v>
      </c>
      <c r="L1987" s="479">
        <f t="shared" si="225"/>
        <v>0</v>
      </c>
      <c r="M1987" s="479">
        <f t="shared" si="225"/>
        <v>5000</v>
      </c>
      <c r="N1987" s="721">
        <f>M1987+H1987</f>
        <v>130814</v>
      </c>
      <c r="O1987" s="817"/>
      <c r="P1987" s="32"/>
      <c r="Q1987" s="479">
        <f t="shared" ref="Q1987:R1987" si="226">Q1988+Q1989</f>
        <v>5000</v>
      </c>
      <c r="R1987" s="479">
        <f t="shared" si="226"/>
        <v>5000</v>
      </c>
      <c r="S1987" s="897"/>
      <c r="T1987" s="897"/>
      <c r="U1987" s="897"/>
      <c r="V1987" s="32" t="s">
        <v>517</v>
      </c>
      <c r="X1987" s="16">
        <f t="shared" si="186"/>
        <v>5000</v>
      </c>
      <c r="Y1987" s="16">
        <f t="shared" si="201"/>
        <v>0</v>
      </c>
    </row>
    <row r="1988" spans="1:25" s="30" customFormat="1" ht="15">
      <c r="A1988" s="112"/>
      <c r="B1988" s="863" t="s">
        <v>1393</v>
      </c>
      <c r="C1988" s="482" t="s">
        <v>1416</v>
      </c>
      <c r="D1988" s="483">
        <v>40850</v>
      </c>
      <c r="E1988" s="786" t="s">
        <v>2869</v>
      </c>
      <c r="F1988" s="1103" t="s">
        <v>5649</v>
      </c>
      <c r="G1988" s="481"/>
      <c r="H1988" s="717"/>
      <c r="I1988" s="717"/>
      <c r="J1988" s="485"/>
      <c r="K1988" s="485">
        <v>4000</v>
      </c>
      <c r="L1988" s="485"/>
      <c r="M1988" s="485">
        <f>SUM(J1988:L1988)</f>
        <v>4000</v>
      </c>
      <c r="N1988" s="715"/>
      <c r="O1988" s="817"/>
      <c r="P1988" s="1137" t="s">
        <v>102</v>
      </c>
      <c r="Q1988" s="508">
        <f>4000</f>
        <v>4000</v>
      </c>
      <c r="R1988" s="508">
        <f>4000</f>
        <v>4000</v>
      </c>
      <c r="S1988" s="899" t="s">
        <v>1417</v>
      </c>
      <c r="T1988" s="899"/>
      <c r="U1988" s="899"/>
      <c r="V1988" s="32" t="s">
        <v>517</v>
      </c>
      <c r="W1988" s="31" t="s">
        <v>1415</v>
      </c>
      <c r="X1988" s="16">
        <f t="shared" si="186"/>
        <v>4000</v>
      </c>
      <c r="Y1988" s="16">
        <f t="shared" si="201"/>
        <v>0</v>
      </c>
    </row>
    <row r="1989" spans="1:25" s="30" customFormat="1" ht="15">
      <c r="A1989" s="112"/>
      <c r="B1989" s="863" t="s">
        <v>1393</v>
      </c>
      <c r="C1989" s="482" t="s">
        <v>1418</v>
      </c>
      <c r="D1989" s="483">
        <v>40884</v>
      </c>
      <c r="E1989" s="786" t="s">
        <v>2869</v>
      </c>
      <c r="F1989" s="1181" t="s">
        <v>5649</v>
      </c>
      <c r="G1989" s="498"/>
      <c r="H1989" s="717"/>
      <c r="I1989" s="717"/>
      <c r="J1989" s="485"/>
      <c r="K1989" s="485">
        <v>1000</v>
      </c>
      <c r="L1989" s="485"/>
      <c r="M1989" s="485">
        <f t="shared" ref="M1989" si="227">SUM(J1989:L1989)</f>
        <v>1000</v>
      </c>
      <c r="N1989" s="715"/>
      <c r="O1989" s="817"/>
      <c r="P1989" s="1137" t="s">
        <v>102</v>
      </c>
      <c r="Q1989" s="508">
        <v>1000</v>
      </c>
      <c r="R1989" s="508">
        <v>1000</v>
      </c>
      <c r="S1989" s="899" t="s">
        <v>1419</v>
      </c>
      <c r="T1989" s="899"/>
      <c r="U1989" s="899"/>
      <c r="V1989" s="32"/>
      <c r="W1989" s="31" t="s">
        <v>1415</v>
      </c>
      <c r="X1989" s="16">
        <f t="shared" si="186"/>
        <v>1000</v>
      </c>
      <c r="Y1989" s="16">
        <f t="shared" si="201"/>
        <v>0</v>
      </c>
    </row>
    <row r="1990" spans="1:25" s="30" customFormat="1" ht="15">
      <c r="A1990" s="112"/>
      <c r="B1990" s="863"/>
      <c r="C1990" s="482"/>
      <c r="D1990" s="483"/>
      <c r="E1990" s="786"/>
      <c r="F1990" s="487"/>
      <c r="G1990" s="481"/>
      <c r="H1990" s="717"/>
      <c r="I1990" s="717"/>
      <c r="J1990" s="485"/>
      <c r="K1990" s="485"/>
      <c r="L1990" s="485"/>
      <c r="M1990" s="485"/>
      <c r="N1990" s="715"/>
      <c r="O1990" s="818"/>
      <c r="P1990" s="32"/>
      <c r="Q1990" s="524"/>
      <c r="R1990" s="524"/>
      <c r="S1990" s="898"/>
      <c r="T1990" s="898"/>
      <c r="U1990" s="898"/>
      <c r="V1990" s="32"/>
      <c r="W1990" s="43"/>
      <c r="X1990" s="16">
        <f t="shared" si="186"/>
        <v>0</v>
      </c>
      <c r="Y1990" s="16">
        <f t="shared" si="201"/>
        <v>0</v>
      </c>
    </row>
    <row r="1991" spans="1:25" s="30" customFormat="1" ht="15">
      <c r="A1991" s="112"/>
      <c r="B1991" s="1031" t="s">
        <v>1420</v>
      </c>
      <c r="C1991" s="43"/>
      <c r="D1991" s="718"/>
      <c r="E1991" s="329"/>
      <c r="F1991" s="487"/>
      <c r="H1991" s="717"/>
      <c r="I1991" s="717"/>
      <c r="J1991" s="479">
        <f t="shared" ref="J1991" si="228">J1992</f>
        <v>0</v>
      </c>
      <c r="K1991" s="479">
        <f>K1992</f>
        <v>500</v>
      </c>
      <c r="L1991" s="479">
        <f t="shared" ref="L1991:M1991" si="229">L1992</f>
        <v>0</v>
      </c>
      <c r="M1991" s="479">
        <f t="shared" si="229"/>
        <v>500</v>
      </c>
      <c r="N1991" s="716"/>
      <c r="O1991" s="818"/>
      <c r="P1991" s="43"/>
      <c r="Q1991" s="479">
        <f t="shared" ref="Q1991:R1991" si="230">Q1992</f>
        <v>0</v>
      </c>
      <c r="R1991" s="479">
        <f t="shared" si="230"/>
        <v>0</v>
      </c>
      <c r="S1991" s="898"/>
      <c r="T1991" s="898"/>
      <c r="U1991" s="898"/>
      <c r="V1991" s="32" t="s">
        <v>517</v>
      </c>
      <c r="X1991" s="16">
        <f t="shared" si="186"/>
        <v>500</v>
      </c>
      <c r="Y1991" s="16">
        <f t="shared" si="201"/>
        <v>0</v>
      </c>
    </row>
    <row r="1992" spans="1:25" s="30" customFormat="1" ht="15">
      <c r="A1992" s="112"/>
      <c r="B1992" s="863" t="s">
        <v>1393</v>
      </c>
      <c r="C1992" s="482" t="s">
        <v>1422</v>
      </c>
      <c r="D1992" s="483">
        <v>40850</v>
      </c>
      <c r="E1992" s="786" t="s">
        <v>2869</v>
      </c>
      <c r="F1992" s="1103" t="s">
        <v>5649</v>
      </c>
      <c r="G1992" s="481"/>
      <c r="H1992" s="519">
        <v>119264</v>
      </c>
      <c r="I1992" s="717"/>
      <c r="J1992" s="485"/>
      <c r="K1992" s="485">
        <v>500</v>
      </c>
      <c r="L1992" s="485"/>
      <c r="M1992" s="485">
        <f t="shared" ref="M1992" si="231">SUM(J1992:L1992)</f>
        <v>500</v>
      </c>
      <c r="N1992" s="716">
        <f>M1992+H1992</f>
        <v>119764</v>
      </c>
      <c r="O1992" s="818"/>
      <c r="P1992" s="1137" t="s">
        <v>102</v>
      </c>
      <c r="Q1992" s="524"/>
      <c r="R1992" s="524"/>
      <c r="S1992" s="898"/>
      <c r="T1992" s="898"/>
      <c r="U1992" s="898"/>
      <c r="V1992" s="32"/>
      <c r="W1992" s="31" t="s">
        <v>1421</v>
      </c>
      <c r="X1992" s="16">
        <f t="shared" si="186"/>
        <v>500</v>
      </c>
      <c r="Y1992" s="16">
        <f t="shared" si="201"/>
        <v>0</v>
      </c>
    </row>
    <row r="1993" spans="1:25" s="30" customFormat="1" ht="15">
      <c r="A1993" s="112"/>
      <c r="B1993" s="863"/>
      <c r="C1993" s="482"/>
      <c r="D1993" s="483"/>
      <c r="E1993" s="786"/>
      <c r="F1993" s="487"/>
      <c r="G1993" s="481"/>
      <c r="H1993" s="519"/>
      <c r="I1993" s="717"/>
      <c r="J1993" s="485"/>
      <c r="K1993" s="485"/>
      <c r="L1993" s="485"/>
      <c r="M1993" s="485"/>
      <c r="N1993" s="716"/>
      <c r="O1993" s="818"/>
      <c r="P1993" s="32"/>
      <c r="Q1993" s="524"/>
      <c r="R1993" s="524"/>
      <c r="S1993" s="898"/>
      <c r="T1993" s="898"/>
      <c r="U1993" s="898"/>
      <c r="V1993" s="32"/>
      <c r="W1993" s="31"/>
      <c r="X1993" s="16">
        <f t="shared" si="186"/>
        <v>0</v>
      </c>
      <c r="Y1993" s="16">
        <f t="shared" si="201"/>
        <v>0</v>
      </c>
    </row>
    <row r="1994" spans="1:25" s="30" customFormat="1" ht="15">
      <c r="A1994" s="112"/>
      <c r="B1994" s="1031" t="s">
        <v>1423</v>
      </c>
      <c r="C1994" s="43"/>
      <c r="D1994" s="718"/>
      <c r="E1994" s="329"/>
      <c r="H1994" s="519"/>
      <c r="I1994" s="717"/>
      <c r="J1994" s="479">
        <f>J1995</f>
        <v>0</v>
      </c>
      <c r="K1994" s="479">
        <f t="shared" ref="K1994:M1994" si="232">K1995</f>
        <v>1000</v>
      </c>
      <c r="L1994" s="479">
        <f t="shared" si="232"/>
        <v>0</v>
      </c>
      <c r="M1994" s="479">
        <f t="shared" si="232"/>
        <v>1000</v>
      </c>
      <c r="N1994" s="716"/>
      <c r="O1994" s="818"/>
      <c r="P1994" s="32"/>
      <c r="Q1994" s="479">
        <f t="shared" ref="Q1994:R1994" si="233">Q1995</f>
        <v>1000</v>
      </c>
      <c r="R1994" s="479">
        <f t="shared" si="233"/>
        <v>996</v>
      </c>
      <c r="S1994" s="898"/>
      <c r="T1994" s="898"/>
      <c r="U1994" s="898"/>
      <c r="V1994" s="32" t="s">
        <v>517</v>
      </c>
      <c r="X1994" s="16">
        <f t="shared" ref="X1994:X2058" si="234">SUM(J1994:L1994)</f>
        <v>1000</v>
      </c>
      <c r="Y1994" s="16">
        <f t="shared" si="201"/>
        <v>0</v>
      </c>
    </row>
    <row r="1995" spans="1:25" s="30" customFormat="1" ht="15">
      <c r="A1995" s="112"/>
      <c r="B1995" s="863" t="s">
        <v>1393</v>
      </c>
      <c r="C1995" s="482" t="s">
        <v>1425</v>
      </c>
      <c r="D1995" s="483">
        <v>40884</v>
      </c>
      <c r="E1995" s="786" t="s">
        <v>2869</v>
      </c>
      <c r="F1995" s="1181" t="s">
        <v>5649</v>
      </c>
      <c r="G1995" s="498"/>
      <c r="H1995" s="519">
        <v>42581</v>
      </c>
      <c r="I1995" s="717"/>
      <c r="J1995" s="485"/>
      <c r="K1995" s="485">
        <v>1000</v>
      </c>
      <c r="L1995" s="485"/>
      <c r="M1995" s="485">
        <f t="shared" ref="M1995" si="235">SUM(J1995:L1995)</f>
        <v>1000</v>
      </c>
      <c r="N1995" s="716">
        <f>M1995+H1995</f>
        <v>43581</v>
      </c>
      <c r="O1995" s="818"/>
      <c r="P1995" s="1137" t="s">
        <v>102</v>
      </c>
      <c r="Q1995" s="508">
        <v>1000</v>
      </c>
      <c r="R1995" s="508">
        <f>654+342</f>
        <v>996</v>
      </c>
      <c r="S1995" s="898"/>
      <c r="T1995" s="898"/>
      <c r="U1995" s="898"/>
      <c r="V1995" s="32"/>
      <c r="W1995" s="31" t="s">
        <v>1424</v>
      </c>
      <c r="X1995" s="16">
        <f t="shared" si="234"/>
        <v>1000</v>
      </c>
      <c r="Y1995" s="16">
        <f t="shared" ref="Y1995:Y2026" si="236">X1995-M1995</f>
        <v>0</v>
      </c>
    </row>
    <row r="1996" spans="1:25" s="30" customFormat="1" ht="15">
      <c r="A1996" s="112"/>
      <c r="B1996" s="863"/>
      <c r="C1996" s="482"/>
      <c r="D1996" s="483"/>
      <c r="E1996" s="786"/>
      <c r="F1996" s="497"/>
      <c r="G1996" s="481"/>
      <c r="H1996" s="519"/>
      <c r="I1996" s="717"/>
      <c r="J1996" s="485"/>
      <c r="K1996" s="485"/>
      <c r="L1996" s="485"/>
      <c r="M1996" s="485"/>
      <c r="N1996" s="716"/>
      <c r="O1996" s="818"/>
      <c r="P1996" s="32"/>
      <c r="Q1996" s="524"/>
      <c r="R1996" s="524"/>
      <c r="S1996" s="898"/>
      <c r="T1996" s="898"/>
      <c r="U1996" s="898"/>
      <c r="V1996" s="32"/>
      <c r="W1996" s="43"/>
      <c r="X1996" s="16">
        <f t="shared" si="234"/>
        <v>0</v>
      </c>
      <c r="Y1996" s="16">
        <f t="shared" si="236"/>
        <v>0</v>
      </c>
    </row>
    <row r="1997" spans="1:25" s="30" customFormat="1" ht="15">
      <c r="A1997" s="112"/>
      <c r="B1997" s="1031" t="s">
        <v>1426</v>
      </c>
      <c r="C1997" s="43"/>
      <c r="D1997" s="718"/>
      <c r="E1997" s="329"/>
      <c r="H1997" s="519"/>
      <c r="I1997" s="717"/>
      <c r="J1997" s="479">
        <f t="shared" ref="J1997" si="237">J1998</f>
        <v>0</v>
      </c>
      <c r="K1997" s="479">
        <f>K1998</f>
        <v>3680</v>
      </c>
      <c r="L1997" s="479">
        <f t="shared" ref="L1997:M1997" si="238">L1998</f>
        <v>0</v>
      </c>
      <c r="M1997" s="479">
        <f t="shared" si="238"/>
        <v>3680</v>
      </c>
      <c r="N1997" s="716"/>
      <c r="O1997" s="821"/>
      <c r="P1997" s="43"/>
      <c r="Q1997" s="479">
        <f t="shared" ref="Q1997:R1997" si="239">Q1998</f>
        <v>3680</v>
      </c>
      <c r="R1997" s="479">
        <f t="shared" si="239"/>
        <v>2406</v>
      </c>
      <c r="S1997" s="901"/>
      <c r="T1997" s="901"/>
      <c r="U1997" s="901"/>
      <c r="V1997" s="32" t="s">
        <v>517</v>
      </c>
      <c r="X1997" s="16">
        <f t="shared" si="234"/>
        <v>3680</v>
      </c>
      <c r="Y1997" s="16">
        <f t="shared" si="236"/>
        <v>0</v>
      </c>
    </row>
    <row r="1998" spans="1:25" s="30" customFormat="1" ht="30">
      <c r="A1998" s="112"/>
      <c r="B1998" s="1102" t="s">
        <v>1428</v>
      </c>
      <c r="C1998" s="489" t="s">
        <v>1429</v>
      </c>
      <c r="D1998" s="490">
        <v>40962</v>
      </c>
      <c r="E1998" s="800" t="s">
        <v>2869</v>
      </c>
      <c r="F1998" s="1103" t="s">
        <v>5649</v>
      </c>
      <c r="G1998" s="488"/>
      <c r="H1998" s="519">
        <v>53443</v>
      </c>
      <c r="I1998" s="519"/>
      <c r="J1998" s="491"/>
      <c r="K1998" s="492">
        <v>3680</v>
      </c>
      <c r="L1998" s="492"/>
      <c r="M1998" s="492">
        <f>SUM(K1998:L1998)</f>
        <v>3680</v>
      </c>
      <c r="N1998" s="675">
        <f>M1998+H1998</f>
        <v>57123</v>
      </c>
      <c r="O1998" s="817"/>
      <c r="P1998" s="1137" t="s">
        <v>102</v>
      </c>
      <c r="Q1998" s="508">
        <f>1274+2406</f>
        <v>3680</v>
      </c>
      <c r="R1998" s="508">
        <f>1274+1132</f>
        <v>2406</v>
      </c>
      <c r="S1998" s="899" t="s">
        <v>1430</v>
      </c>
      <c r="T1998" s="899"/>
      <c r="U1998" s="899"/>
      <c r="V1998" s="476"/>
      <c r="W1998" s="31" t="s">
        <v>1427</v>
      </c>
      <c r="X1998" s="16">
        <f t="shared" si="234"/>
        <v>3680</v>
      </c>
      <c r="Y1998" s="16">
        <f t="shared" si="236"/>
        <v>0</v>
      </c>
    </row>
    <row r="1999" spans="1:25" s="30" customFormat="1" ht="15">
      <c r="A1999" s="112"/>
      <c r="B1999" s="251"/>
      <c r="C1999" s="489"/>
      <c r="D1999" s="490"/>
      <c r="E1999" s="489"/>
      <c r="F1999" s="250"/>
      <c r="G1999" s="250"/>
      <c r="H1999" s="519"/>
      <c r="I1999" s="717"/>
      <c r="J1999" s="491"/>
      <c r="K1999" s="492"/>
      <c r="L1999" s="492"/>
      <c r="M1999" s="492"/>
      <c r="N1999" s="715"/>
      <c r="O1999" s="818"/>
      <c r="P1999" s="32"/>
      <c r="Q1999" s="524"/>
      <c r="R1999" s="524"/>
      <c r="S1999" s="898"/>
      <c r="T1999" s="898"/>
      <c r="U1999" s="898"/>
      <c r="V1999" s="43"/>
      <c r="W1999" s="31"/>
      <c r="X1999" s="16">
        <f t="shared" si="234"/>
        <v>0</v>
      </c>
      <c r="Y1999" s="16">
        <f t="shared" si="236"/>
        <v>0</v>
      </c>
    </row>
    <row r="2000" spans="1:25" s="30" customFormat="1" ht="15">
      <c r="A2000" s="112"/>
      <c r="B2000" s="1031" t="s">
        <v>1431</v>
      </c>
      <c r="C2000" s="43"/>
      <c r="D2000" s="718"/>
      <c r="E2000" s="329"/>
      <c r="H2000" s="519"/>
      <c r="I2000" s="717"/>
      <c r="J2000" s="479">
        <f t="shared" ref="J2000" si="240">J2001</f>
        <v>0</v>
      </c>
      <c r="K2000" s="479">
        <f>K2001</f>
        <v>6020</v>
      </c>
      <c r="L2000" s="479">
        <f t="shared" ref="L2000:M2000" si="241">L2001</f>
        <v>0</v>
      </c>
      <c r="M2000" s="479">
        <f t="shared" si="241"/>
        <v>6020</v>
      </c>
      <c r="N2000" s="716"/>
      <c r="O2000" s="821"/>
      <c r="P2000" s="32"/>
      <c r="Q2000" s="479">
        <f t="shared" ref="Q2000:R2000" si="242">Q2001</f>
        <v>6020</v>
      </c>
      <c r="R2000" s="479">
        <f t="shared" si="242"/>
        <v>6020</v>
      </c>
      <c r="S2000" s="901"/>
      <c r="T2000" s="901"/>
      <c r="U2000" s="901"/>
      <c r="V2000" s="771" t="s">
        <v>517</v>
      </c>
      <c r="X2000" s="16">
        <f t="shared" si="234"/>
        <v>6020</v>
      </c>
      <c r="Y2000" s="16">
        <f t="shared" si="236"/>
        <v>0</v>
      </c>
    </row>
    <row r="2001" spans="1:25" s="30" customFormat="1" ht="30">
      <c r="A2001" s="112"/>
      <c r="B2001" s="1102" t="s">
        <v>1428</v>
      </c>
      <c r="C2001" s="489" t="s">
        <v>1433</v>
      </c>
      <c r="D2001" s="490">
        <v>40962</v>
      </c>
      <c r="E2001" s="800" t="s">
        <v>2869</v>
      </c>
      <c r="F2001" s="1103" t="s">
        <v>5649</v>
      </c>
      <c r="G2001" s="488"/>
      <c r="H2001" s="519">
        <v>73942</v>
      </c>
      <c r="I2001" s="519"/>
      <c r="J2001" s="491"/>
      <c r="K2001" s="492">
        <v>6020</v>
      </c>
      <c r="L2001" s="492"/>
      <c r="M2001" s="492">
        <f>SUM(K2001:L2001)</f>
        <v>6020</v>
      </c>
      <c r="N2001" s="675">
        <f>M2001+H2001</f>
        <v>79962</v>
      </c>
      <c r="O2001" s="821"/>
      <c r="P2001" s="1137" t="s">
        <v>102</v>
      </c>
      <c r="Q2001" s="508">
        <v>6020</v>
      </c>
      <c r="R2001" s="508">
        <v>6020</v>
      </c>
      <c r="S2001" s="901" t="s">
        <v>1434</v>
      </c>
      <c r="T2001" s="901"/>
      <c r="U2001" s="901"/>
      <c r="V2001" s="771"/>
      <c r="W2001" s="31" t="s">
        <v>1432</v>
      </c>
      <c r="X2001" s="16">
        <f t="shared" si="234"/>
        <v>6020</v>
      </c>
      <c r="Y2001" s="16">
        <f t="shared" si="236"/>
        <v>0</v>
      </c>
    </row>
    <row r="2002" spans="1:25" s="30" customFormat="1" ht="15">
      <c r="A2002" s="112"/>
      <c r="B2002" s="1102"/>
      <c r="C2002" s="489"/>
      <c r="D2002" s="490"/>
      <c r="E2002" s="252"/>
      <c r="F2002" s="488"/>
      <c r="G2002" s="488"/>
      <c r="H2002" s="519"/>
      <c r="I2002" s="519"/>
      <c r="J2002" s="491"/>
      <c r="K2002" s="492"/>
      <c r="L2002" s="492"/>
      <c r="M2002" s="492"/>
      <c r="N2002" s="675"/>
      <c r="O2002" s="821"/>
      <c r="P2002" s="32"/>
      <c r="Q2002" s="508"/>
      <c r="R2002" s="508"/>
      <c r="S2002" s="901"/>
      <c r="T2002" s="901"/>
      <c r="U2002" s="901"/>
      <c r="V2002" s="771"/>
      <c r="W2002" s="31"/>
      <c r="X2002" s="16">
        <f t="shared" si="234"/>
        <v>0</v>
      </c>
      <c r="Y2002" s="16">
        <f t="shared" si="236"/>
        <v>0</v>
      </c>
    </row>
    <row r="2003" spans="1:25" s="30" customFormat="1" ht="15">
      <c r="A2003" s="112"/>
      <c r="B2003" s="864" t="s">
        <v>1435</v>
      </c>
      <c r="C2003" s="489"/>
      <c r="D2003" s="490"/>
      <c r="E2003" s="786"/>
      <c r="F2003" s="488"/>
      <c r="G2003" s="488"/>
      <c r="H2003" s="519"/>
      <c r="I2003" s="519"/>
      <c r="J2003" s="502">
        <f>J2004+J2007+J2012+J2015</f>
        <v>0</v>
      </c>
      <c r="K2003" s="502">
        <f t="shared" ref="K2003:M2003" si="243">K2004+K2007+K2012+K2015</f>
        <v>4000</v>
      </c>
      <c r="L2003" s="502">
        <f t="shared" si="243"/>
        <v>0</v>
      </c>
      <c r="M2003" s="502">
        <f t="shared" si="243"/>
        <v>4000</v>
      </c>
      <c r="N2003" s="675"/>
      <c r="O2003" s="821"/>
      <c r="P2003" s="32"/>
      <c r="Q2003" s="502">
        <f t="shared" ref="Q2003:R2003" si="244">Q2004+Q2007+Q2012+Q2015</f>
        <v>4000</v>
      </c>
      <c r="R2003" s="502">
        <f t="shared" si="244"/>
        <v>4000</v>
      </c>
      <c r="S2003" s="901"/>
      <c r="T2003" s="901"/>
      <c r="U2003" s="901"/>
      <c r="V2003" s="771"/>
      <c r="W2003" s="31"/>
      <c r="X2003" s="16">
        <f t="shared" si="234"/>
        <v>4000</v>
      </c>
      <c r="Y2003" s="16">
        <f t="shared" si="236"/>
        <v>0</v>
      </c>
    </row>
    <row r="2004" spans="1:25" s="30" customFormat="1" ht="15">
      <c r="A2004" s="112"/>
      <c r="B2004" s="503" t="s">
        <v>1436</v>
      </c>
      <c r="C2004" s="489"/>
      <c r="D2004" s="490"/>
      <c r="E2004" s="252"/>
      <c r="F2004" s="488"/>
      <c r="G2004" s="488"/>
      <c r="H2004" s="519"/>
      <c r="I2004" s="519"/>
      <c r="J2004" s="504">
        <f>J2005+J2006</f>
        <v>0</v>
      </c>
      <c r="K2004" s="504">
        <f t="shared" ref="K2004:M2004" si="245">K2005+K2006</f>
        <v>1250</v>
      </c>
      <c r="L2004" s="504">
        <f t="shared" si="245"/>
        <v>0</v>
      </c>
      <c r="M2004" s="504">
        <f t="shared" si="245"/>
        <v>1250</v>
      </c>
      <c r="N2004" s="675"/>
      <c r="O2004" s="817"/>
      <c r="P2004" s="32"/>
      <c r="Q2004" s="504">
        <f t="shared" ref="Q2004:R2004" si="246">Q2005+Q2006</f>
        <v>1250</v>
      </c>
      <c r="R2004" s="504">
        <f t="shared" si="246"/>
        <v>1250</v>
      </c>
      <c r="S2004" s="897"/>
      <c r="T2004" s="897"/>
      <c r="U2004" s="897"/>
      <c r="V2004" s="32" t="s">
        <v>517</v>
      </c>
      <c r="X2004" s="16">
        <f t="shared" si="234"/>
        <v>1250</v>
      </c>
      <c r="Y2004" s="16">
        <f t="shared" si="236"/>
        <v>0</v>
      </c>
    </row>
    <row r="2005" spans="1:25" s="30" customFormat="1" ht="15">
      <c r="A2005" s="112"/>
      <c r="B2005" s="863" t="s">
        <v>1393</v>
      </c>
      <c r="C2005" s="482" t="s">
        <v>1438</v>
      </c>
      <c r="D2005" s="483">
        <v>40857</v>
      </c>
      <c r="E2005" s="786" t="s">
        <v>2869</v>
      </c>
      <c r="F2005" s="1181" t="s">
        <v>5649</v>
      </c>
      <c r="G2005" s="481"/>
      <c r="H2005" s="722"/>
      <c r="I2005" s="722"/>
      <c r="J2005" s="691"/>
      <c r="K2005" s="691">
        <v>250</v>
      </c>
      <c r="L2005" s="691"/>
      <c r="M2005" s="691">
        <f>SUM(J2005:L2005)</f>
        <v>250</v>
      </c>
      <c r="N2005" s="715"/>
      <c r="O2005" s="817"/>
      <c r="P2005" s="1137" t="s">
        <v>102</v>
      </c>
      <c r="Q2005" s="356">
        <v>250</v>
      </c>
      <c r="R2005" s="356">
        <v>250</v>
      </c>
      <c r="S2005" s="874" t="s">
        <v>1408</v>
      </c>
      <c r="T2005" s="897"/>
      <c r="U2005" s="897"/>
      <c r="V2005" s="32" t="s">
        <v>517</v>
      </c>
      <c r="W2005" s="31" t="s">
        <v>1437</v>
      </c>
      <c r="X2005" s="16">
        <f t="shared" si="234"/>
        <v>250</v>
      </c>
      <c r="Y2005" s="16">
        <f t="shared" si="236"/>
        <v>0</v>
      </c>
    </row>
    <row r="2006" spans="1:25" s="30" customFormat="1" ht="30">
      <c r="A2006" s="112"/>
      <c r="B2006" s="863" t="s">
        <v>1393</v>
      </c>
      <c r="C2006" s="482" t="s">
        <v>1439</v>
      </c>
      <c r="D2006" s="483">
        <v>40884</v>
      </c>
      <c r="E2006" s="786" t="s">
        <v>4973</v>
      </c>
      <c r="F2006" s="497" t="s">
        <v>5650</v>
      </c>
      <c r="G2006" s="505"/>
      <c r="H2006" s="722"/>
      <c r="I2006" s="722"/>
      <c r="J2006" s="485"/>
      <c r="K2006" s="485">
        <v>1000</v>
      </c>
      <c r="L2006" s="485"/>
      <c r="M2006" s="485">
        <f t="shared" ref="M2006" si="247">SUM(J2006:L2006)</f>
        <v>1000</v>
      </c>
      <c r="N2006" s="715"/>
      <c r="O2006" s="817"/>
      <c r="P2006" s="1137" t="s">
        <v>102</v>
      </c>
      <c r="Q2006" s="506">
        <v>1000</v>
      </c>
      <c r="R2006" s="506">
        <v>1000</v>
      </c>
      <c r="S2006" s="403" t="s">
        <v>1440</v>
      </c>
      <c r="T2006" s="897"/>
      <c r="U2006" s="897"/>
      <c r="V2006" s="32"/>
      <c r="W2006" s="31" t="s">
        <v>1437</v>
      </c>
      <c r="X2006" s="16">
        <f t="shared" si="234"/>
        <v>1000</v>
      </c>
      <c r="Y2006" s="16">
        <f t="shared" si="236"/>
        <v>0</v>
      </c>
    </row>
    <row r="2007" spans="1:25" s="30" customFormat="1" ht="15">
      <c r="A2007" s="112"/>
      <c r="B2007" s="864" t="s">
        <v>1441</v>
      </c>
      <c r="C2007" s="482"/>
      <c r="D2007" s="483"/>
      <c r="E2007" s="786"/>
      <c r="F2007" s="497"/>
      <c r="G2007" s="481"/>
      <c r="H2007" s="722"/>
      <c r="I2007" s="722"/>
      <c r="J2007" s="507">
        <f>SUM(J2008:J2010)</f>
        <v>0</v>
      </c>
      <c r="K2007" s="507">
        <f t="shared" ref="K2007:M2007" si="248">SUM(K2008:K2010)</f>
        <v>2250</v>
      </c>
      <c r="L2007" s="507">
        <f t="shared" si="248"/>
        <v>0</v>
      </c>
      <c r="M2007" s="507">
        <f t="shared" si="248"/>
        <v>2250</v>
      </c>
      <c r="N2007" s="715"/>
      <c r="O2007" s="817"/>
      <c r="P2007" s="32"/>
      <c r="Q2007" s="507">
        <f t="shared" ref="Q2007:R2007" si="249">SUM(Q2008:Q2010)</f>
        <v>2250</v>
      </c>
      <c r="R2007" s="507">
        <f t="shared" si="249"/>
        <v>2250</v>
      </c>
      <c r="S2007" s="897"/>
      <c r="T2007" s="897"/>
      <c r="U2007" s="897"/>
      <c r="V2007" s="32" t="s">
        <v>517</v>
      </c>
      <c r="X2007" s="16">
        <f t="shared" si="234"/>
        <v>2250</v>
      </c>
      <c r="Y2007" s="16">
        <f t="shared" si="236"/>
        <v>0</v>
      </c>
    </row>
    <row r="2008" spans="1:25" s="30" customFormat="1" ht="15">
      <c r="A2008" s="112"/>
      <c r="B2008" s="863" t="s">
        <v>1393</v>
      </c>
      <c r="C2008" s="482" t="s">
        <v>1443</v>
      </c>
      <c r="D2008" s="483">
        <v>40857</v>
      </c>
      <c r="E2008" s="1182" t="s">
        <v>4973</v>
      </c>
      <c r="F2008" s="497" t="s">
        <v>5649</v>
      </c>
      <c r="G2008" s="481"/>
      <c r="H2008" s="722"/>
      <c r="I2008" s="722"/>
      <c r="J2008" s="485"/>
      <c r="K2008" s="485">
        <v>250</v>
      </c>
      <c r="L2008" s="485"/>
      <c r="M2008" s="485">
        <f>SUM(J2008:L2008)</f>
        <v>250</v>
      </c>
      <c r="N2008" s="715"/>
      <c r="O2008" s="817"/>
      <c r="P2008" s="1137" t="s">
        <v>102</v>
      </c>
      <c r="Q2008" s="356">
        <v>250</v>
      </c>
      <c r="R2008" s="356">
        <v>250</v>
      </c>
      <c r="S2008" s="874" t="s">
        <v>1408</v>
      </c>
      <c r="T2008" s="897"/>
      <c r="U2008" s="897"/>
      <c r="V2008" s="32" t="s">
        <v>517</v>
      </c>
      <c r="W2008" s="31" t="s">
        <v>1442</v>
      </c>
      <c r="X2008" s="16">
        <f t="shared" si="234"/>
        <v>250</v>
      </c>
      <c r="Y2008" s="16">
        <f t="shared" si="236"/>
        <v>0</v>
      </c>
    </row>
    <row r="2009" spans="1:25" s="30" customFormat="1" ht="42" customHeight="1">
      <c r="A2009" s="112"/>
      <c r="B2009" s="863" t="s">
        <v>1393</v>
      </c>
      <c r="C2009" s="482" t="s">
        <v>1444</v>
      </c>
      <c r="D2009" s="483">
        <v>40899</v>
      </c>
      <c r="E2009" s="786" t="s">
        <v>2869</v>
      </c>
      <c r="F2009" s="1181" t="s">
        <v>5649</v>
      </c>
      <c r="G2009" s="481"/>
      <c r="H2009" s="722"/>
      <c r="I2009" s="722"/>
      <c r="J2009" s="485"/>
      <c r="K2009" s="485">
        <v>1000</v>
      </c>
      <c r="L2009" s="485"/>
      <c r="M2009" s="485">
        <f>SUM(J2009:L2009)</f>
        <v>1000</v>
      </c>
      <c r="N2009" s="715"/>
      <c r="O2009" s="817"/>
      <c r="P2009" s="1137" t="s">
        <v>102</v>
      </c>
      <c r="Q2009" s="506">
        <v>1000</v>
      </c>
      <c r="R2009" s="506">
        <v>1000</v>
      </c>
      <c r="S2009" s="875" t="s">
        <v>1445</v>
      </c>
      <c r="T2009" s="897"/>
      <c r="U2009" s="897"/>
      <c r="V2009" s="32" t="s">
        <v>517</v>
      </c>
      <c r="W2009" s="31" t="s">
        <v>1442</v>
      </c>
      <c r="X2009" s="16">
        <f t="shared" si="234"/>
        <v>1000</v>
      </c>
      <c r="Y2009" s="16">
        <f t="shared" si="236"/>
        <v>0</v>
      </c>
    </row>
    <row r="2010" spans="1:25" s="30" customFormat="1" ht="30">
      <c r="A2010" s="112"/>
      <c r="B2010" s="863" t="s">
        <v>1393</v>
      </c>
      <c r="C2010" s="482" t="s">
        <v>1446</v>
      </c>
      <c r="D2010" s="483">
        <v>40884</v>
      </c>
      <c r="E2010" s="786" t="s">
        <v>4973</v>
      </c>
      <c r="F2010" s="497" t="s">
        <v>5651</v>
      </c>
      <c r="G2010" s="498"/>
      <c r="H2010" s="722"/>
      <c r="I2010" s="722"/>
      <c r="J2010" s="485"/>
      <c r="K2010" s="485">
        <v>1000</v>
      </c>
      <c r="L2010" s="485"/>
      <c r="M2010" s="485">
        <f t="shared" ref="M2010" si="250">SUM(J2010:L2010)</f>
        <v>1000</v>
      </c>
      <c r="N2010" s="715"/>
      <c r="O2010" s="817"/>
      <c r="P2010" s="1137" t="s">
        <v>102</v>
      </c>
      <c r="Q2010" s="506">
        <v>1000</v>
      </c>
      <c r="R2010" s="506">
        <v>1000</v>
      </c>
      <c r="S2010" s="875" t="s">
        <v>1447</v>
      </c>
      <c r="T2010" s="897"/>
      <c r="U2010" s="897"/>
      <c r="V2010" s="32"/>
      <c r="W2010" s="31" t="s">
        <v>1442</v>
      </c>
      <c r="X2010" s="16">
        <f t="shared" si="234"/>
        <v>1000</v>
      </c>
      <c r="Y2010" s="16">
        <f t="shared" si="236"/>
        <v>0</v>
      </c>
    </row>
    <row r="2011" spans="1:25" s="30" customFormat="1" ht="15">
      <c r="A2011" s="112"/>
      <c r="B2011" s="863"/>
      <c r="C2011" s="482"/>
      <c r="D2011" s="483"/>
      <c r="E2011" s="786"/>
      <c r="F2011" s="497"/>
      <c r="G2011" s="481"/>
      <c r="H2011" s="722"/>
      <c r="I2011" s="722"/>
      <c r="J2011" s="485"/>
      <c r="K2011" s="485"/>
      <c r="L2011" s="485"/>
      <c r="M2011" s="485"/>
      <c r="N2011" s="715"/>
      <c r="O2011" s="818"/>
      <c r="P2011" s="32"/>
      <c r="Q2011" s="524"/>
      <c r="R2011" s="524"/>
      <c r="S2011" s="898"/>
      <c r="T2011" s="898"/>
      <c r="U2011" s="898"/>
      <c r="V2011" s="43"/>
      <c r="W2011" s="31"/>
      <c r="X2011" s="16">
        <f t="shared" si="234"/>
        <v>0</v>
      </c>
      <c r="Y2011" s="16">
        <f t="shared" si="236"/>
        <v>0</v>
      </c>
    </row>
    <row r="2012" spans="1:25" s="30" customFormat="1" ht="15">
      <c r="A2012" s="112"/>
      <c r="B2012" s="1031" t="s">
        <v>1448</v>
      </c>
      <c r="C2012" s="43"/>
      <c r="D2012" s="718"/>
      <c r="E2012" s="329"/>
      <c r="H2012" s="717"/>
      <c r="I2012" s="717"/>
      <c r="J2012" s="479">
        <f>J2013</f>
        <v>0</v>
      </c>
      <c r="K2012" s="479">
        <f t="shared" ref="K2012:M2012" si="251">K2013</f>
        <v>250</v>
      </c>
      <c r="L2012" s="479">
        <f t="shared" si="251"/>
        <v>0</v>
      </c>
      <c r="M2012" s="479">
        <f t="shared" si="251"/>
        <v>250</v>
      </c>
      <c r="N2012" s="716"/>
      <c r="O2012" s="820"/>
      <c r="P2012" s="32"/>
      <c r="Q2012" s="479">
        <f t="shared" ref="Q2012:R2012" si="252">Q2013</f>
        <v>250</v>
      </c>
      <c r="R2012" s="479">
        <f t="shared" si="252"/>
        <v>250</v>
      </c>
      <c r="S2012" s="894"/>
      <c r="T2012" s="894"/>
      <c r="U2012" s="894"/>
      <c r="V2012" s="32" t="s">
        <v>517</v>
      </c>
      <c r="X2012" s="16">
        <f t="shared" si="234"/>
        <v>250</v>
      </c>
      <c r="Y2012" s="16">
        <f t="shared" si="236"/>
        <v>0</v>
      </c>
    </row>
    <row r="2013" spans="1:25" s="39" customFormat="1" ht="15.95" customHeight="1">
      <c r="B2013" s="863" t="s">
        <v>1393</v>
      </c>
      <c r="C2013" s="482" t="s">
        <v>1450</v>
      </c>
      <c r="D2013" s="483">
        <v>40858</v>
      </c>
      <c r="E2013" s="786" t="s">
        <v>4963</v>
      </c>
      <c r="F2013" s="497" t="s">
        <v>5652</v>
      </c>
      <c r="G2013" s="481"/>
      <c r="H2013" s="519">
        <v>105556</v>
      </c>
      <c r="I2013" s="519"/>
      <c r="J2013" s="485"/>
      <c r="K2013" s="485">
        <v>250</v>
      </c>
      <c r="L2013" s="485"/>
      <c r="M2013" s="485">
        <f t="shared" ref="M2013" si="253">SUM(J2013:L2013)</f>
        <v>250</v>
      </c>
      <c r="N2013" s="721">
        <f>M2013+H2013</f>
        <v>105806</v>
      </c>
      <c r="O2013" s="23"/>
      <c r="P2013" s="1137" t="s">
        <v>102</v>
      </c>
      <c r="Q2013" s="506">
        <v>250</v>
      </c>
      <c r="R2013" s="506">
        <v>250</v>
      </c>
      <c r="S2013" s="874" t="s">
        <v>1408</v>
      </c>
      <c r="T2013" s="877"/>
      <c r="U2013" s="877"/>
      <c r="V2013" s="22"/>
      <c r="W2013" s="31" t="s">
        <v>1449</v>
      </c>
      <c r="X2013" s="16">
        <f t="shared" si="234"/>
        <v>250</v>
      </c>
      <c r="Y2013" s="16">
        <f t="shared" si="236"/>
        <v>0</v>
      </c>
    </row>
    <row r="2014" spans="1:25" s="30" customFormat="1" ht="15">
      <c r="A2014" s="112"/>
      <c r="B2014" s="21"/>
      <c r="C2014" s="23"/>
      <c r="D2014" s="380"/>
      <c r="E2014" s="23"/>
      <c r="F2014" s="22"/>
      <c r="G2014" s="22"/>
      <c r="H2014" s="22"/>
      <c r="I2014" s="22"/>
      <c r="J2014" s="22"/>
      <c r="K2014" s="22"/>
      <c r="L2014" s="22"/>
      <c r="M2014" s="22"/>
      <c r="N2014" s="22"/>
      <c r="O2014" s="818"/>
      <c r="P2014" s="165"/>
      <c r="Q2014" s="524"/>
      <c r="R2014" s="524"/>
      <c r="S2014" s="898"/>
      <c r="T2014" s="898"/>
      <c r="U2014" s="898"/>
      <c r="V2014" s="43"/>
      <c r="W2014" s="43"/>
      <c r="X2014" s="16">
        <f t="shared" si="234"/>
        <v>0</v>
      </c>
      <c r="Y2014" s="16">
        <f t="shared" si="236"/>
        <v>0</v>
      </c>
    </row>
    <row r="2015" spans="1:25" s="30" customFormat="1" ht="15">
      <c r="A2015" s="112"/>
      <c r="B2015" s="1031" t="s">
        <v>1451</v>
      </c>
      <c r="C2015" s="43"/>
      <c r="D2015" s="718"/>
      <c r="E2015" s="329"/>
      <c r="H2015" s="717"/>
      <c r="I2015" s="717"/>
      <c r="J2015" s="479">
        <f t="shared" ref="J2015" si="254">J2016</f>
        <v>0</v>
      </c>
      <c r="K2015" s="479">
        <f>K2016</f>
        <v>250</v>
      </c>
      <c r="L2015" s="479">
        <f t="shared" ref="L2015:M2015" si="255">L2016</f>
        <v>0</v>
      </c>
      <c r="M2015" s="479">
        <f t="shared" si="255"/>
        <v>250</v>
      </c>
      <c r="N2015" s="716"/>
      <c r="O2015" s="817"/>
      <c r="P2015" s="43"/>
      <c r="Q2015" s="479">
        <f t="shared" ref="Q2015:R2015" si="256">Q2016</f>
        <v>250</v>
      </c>
      <c r="R2015" s="479">
        <f t="shared" si="256"/>
        <v>250</v>
      </c>
      <c r="S2015" s="897"/>
      <c r="T2015" s="897"/>
      <c r="U2015" s="897"/>
      <c r="V2015" s="43" t="s">
        <v>517</v>
      </c>
      <c r="X2015" s="16">
        <f t="shared" si="234"/>
        <v>250</v>
      </c>
      <c r="Y2015" s="16">
        <f t="shared" si="236"/>
        <v>0</v>
      </c>
    </row>
    <row r="2016" spans="1:25" s="30" customFormat="1" ht="15">
      <c r="A2016" s="112"/>
      <c r="B2016" s="863" t="s">
        <v>1393</v>
      </c>
      <c r="C2016" s="482" t="s">
        <v>1453</v>
      </c>
      <c r="D2016" s="483">
        <v>40857</v>
      </c>
      <c r="E2016" s="786" t="s">
        <v>2869</v>
      </c>
      <c r="F2016" s="1181" t="s">
        <v>5649</v>
      </c>
      <c r="G2016" s="481"/>
      <c r="H2016" s="722">
        <v>171412</v>
      </c>
      <c r="I2016" s="722"/>
      <c r="J2016" s="485"/>
      <c r="K2016" s="485">
        <v>250</v>
      </c>
      <c r="L2016" s="485"/>
      <c r="M2016" s="485">
        <f>SUM(J2016:L2016)</f>
        <v>250</v>
      </c>
      <c r="N2016" s="715"/>
      <c r="O2016" s="817"/>
      <c r="P2016" s="1137" t="s">
        <v>102</v>
      </c>
      <c r="Q2016" s="506">
        <v>250</v>
      </c>
      <c r="R2016" s="506">
        <v>250</v>
      </c>
      <c r="S2016" s="875" t="s">
        <v>1454</v>
      </c>
      <c r="T2016" s="897"/>
      <c r="U2016" s="897"/>
      <c r="V2016" s="43"/>
      <c r="W2016" s="112" t="s">
        <v>1452</v>
      </c>
      <c r="X2016" s="16">
        <f t="shared" si="234"/>
        <v>250</v>
      </c>
      <c r="Y2016" s="16">
        <f t="shared" si="236"/>
        <v>0</v>
      </c>
    </row>
    <row r="2017" spans="1:25" s="39" customFormat="1" ht="15.95" customHeight="1">
      <c r="B2017" s="863"/>
      <c r="C2017" s="482"/>
      <c r="D2017" s="483"/>
      <c r="E2017" s="786"/>
      <c r="F2017" s="497"/>
      <c r="G2017" s="481"/>
      <c r="H2017" s="722"/>
      <c r="I2017" s="722"/>
      <c r="J2017" s="485"/>
      <c r="K2017" s="485"/>
      <c r="L2017" s="485"/>
      <c r="M2017" s="485"/>
      <c r="N2017" s="715"/>
      <c r="O2017" s="23"/>
      <c r="P2017" s="43"/>
      <c r="Q2017" s="216"/>
      <c r="R2017" s="216"/>
      <c r="S2017" s="877"/>
      <c r="T2017" s="877"/>
      <c r="U2017" s="877"/>
      <c r="V2017" s="22"/>
      <c r="X2017" s="16">
        <f t="shared" si="234"/>
        <v>0</v>
      </c>
      <c r="Y2017" s="16">
        <f t="shared" si="236"/>
        <v>0</v>
      </c>
    </row>
    <row r="2018" spans="1:25" s="30" customFormat="1" ht="15">
      <c r="A2018" s="112"/>
      <c r="B2018" s="864" t="s">
        <v>1455</v>
      </c>
      <c r="C2018" s="23"/>
      <c r="D2018" s="380"/>
      <c r="E2018" s="786"/>
      <c r="F2018" s="22"/>
      <c r="G2018" s="22"/>
      <c r="H2018" s="22"/>
      <c r="I2018" s="22"/>
      <c r="J2018" s="36">
        <f>J2019</f>
        <v>0</v>
      </c>
      <c r="K2018" s="36">
        <f t="shared" ref="K2018:M2018" si="257">K2019</f>
        <v>5000</v>
      </c>
      <c r="L2018" s="36">
        <f t="shared" si="257"/>
        <v>0</v>
      </c>
      <c r="M2018" s="36">
        <f t="shared" si="257"/>
        <v>5000</v>
      </c>
      <c r="N2018" s="22"/>
      <c r="O2018" s="818"/>
      <c r="P2018" s="165"/>
      <c r="Q2018" s="36">
        <f t="shared" ref="Q2018:R2018" si="258">Q2019</f>
        <v>5000</v>
      </c>
      <c r="R2018" s="36">
        <f t="shared" si="258"/>
        <v>5000</v>
      </c>
      <c r="S2018" s="898"/>
      <c r="T2018" s="898"/>
      <c r="U2018" s="898"/>
      <c r="V2018" s="43"/>
      <c r="W2018" s="31"/>
      <c r="X2018" s="16">
        <f t="shared" si="234"/>
        <v>5000</v>
      </c>
      <c r="Y2018" s="16">
        <f t="shared" si="236"/>
        <v>0</v>
      </c>
    </row>
    <row r="2019" spans="1:25" s="30" customFormat="1" ht="15">
      <c r="A2019" s="112"/>
      <c r="B2019" s="1031" t="s">
        <v>1456</v>
      </c>
      <c r="C2019" s="43"/>
      <c r="D2019" s="718"/>
      <c r="E2019" s="329"/>
      <c r="H2019" s="717"/>
      <c r="I2019" s="717"/>
      <c r="J2019" s="479">
        <f>SUM(J2020:J2039)</f>
        <v>0</v>
      </c>
      <c r="K2019" s="479">
        <f>K2020+K2025</f>
        <v>5000</v>
      </c>
      <c r="L2019" s="479">
        <f>L2020+L2025</f>
        <v>0</v>
      </c>
      <c r="M2019" s="479">
        <f>M2020+M2025</f>
        <v>5000</v>
      </c>
      <c r="N2019" s="716"/>
      <c r="O2019" s="820"/>
      <c r="P2019" s="32"/>
      <c r="Q2019" s="479">
        <f t="shared" ref="Q2019:R2019" si="259">Q2020+Q2025</f>
        <v>5000</v>
      </c>
      <c r="R2019" s="479">
        <f t="shared" si="259"/>
        <v>5000</v>
      </c>
      <c r="S2019" s="894"/>
      <c r="T2019" s="894"/>
      <c r="U2019" s="894"/>
      <c r="V2019" s="770" t="s">
        <v>517</v>
      </c>
      <c r="X2019" s="16">
        <f t="shared" si="234"/>
        <v>5000</v>
      </c>
      <c r="Y2019" s="16">
        <f t="shared" si="236"/>
        <v>0</v>
      </c>
    </row>
    <row r="2020" spans="1:25" s="39" customFormat="1" ht="15.95" customHeight="1">
      <c r="B2020" s="1102" t="s">
        <v>1458</v>
      </c>
      <c r="C2020" s="489" t="s">
        <v>1459</v>
      </c>
      <c r="D2020" s="490">
        <v>40934</v>
      </c>
      <c r="E2020" s="800" t="s">
        <v>2869</v>
      </c>
      <c r="F2020" s="1103" t="s">
        <v>5649</v>
      </c>
      <c r="G2020" s="488"/>
      <c r="H2020" s="519">
        <v>95326</v>
      </c>
      <c r="I2020" s="519"/>
      <c r="J2020" s="491"/>
      <c r="K2020" s="492">
        <v>5000</v>
      </c>
      <c r="L2020" s="492"/>
      <c r="M2020" s="492">
        <f>SUM(K2020:L2020)</f>
        <v>5000</v>
      </c>
      <c r="N2020" s="721">
        <f>M2020+H2020</f>
        <v>100326</v>
      </c>
      <c r="O2020" s="23"/>
      <c r="P2020" s="1137" t="s">
        <v>102</v>
      </c>
      <c r="Q2020" s="216">
        <f>5000</f>
        <v>5000</v>
      </c>
      <c r="R2020" s="216">
        <f>5000</f>
        <v>5000</v>
      </c>
      <c r="S2020" s="877" t="s">
        <v>1460</v>
      </c>
      <c r="T2020" s="877"/>
      <c r="U2020" s="877"/>
      <c r="V2020" s="22"/>
      <c r="W2020" s="31" t="s">
        <v>1457</v>
      </c>
      <c r="X2020" s="16">
        <f t="shared" si="234"/>
        <v>5000</v>
      </c>
      <c r="Y2020" s="16">
        <f t="shared" si="236"/>
        <v>0</v>
      </c>
    </row>
    <row r="2021" spans="1:25" s="30" customFormat="1" ht="15">
      <c r="A2021" s="112"/>
      <c r="B2021" s="21"/>
      <c r="C2021" s="23"/>
      <c r="D2021" s="380"/>
      <c r="E2021" s="23"/>
      <c r="F2021" s="22"/>
      <c r="G2021" s="22"/>
      <c r="H2021" s="22"/>
      <c r="I2021" s="22"/>
      <c r="J2021" s="22"/>
      <c r="K2021" s="22"/>
      <c r="L2021" s="22"/>
      <c r="M2021" s="22"/>
      <c r="N2021" s="22"/>
      <c r="O2021" s="817"/>
      <c r="P2021" s="165"/>
      <c r="Q2021" s="524"/>
      <c r="R2021" s="524"/>
      <c r="S2021" s="897"/>
      <c r="T2021" s="897"/>
      <c r="U2021" s="897"/>
      <c r="V2021" s="43"/>
      <c r="W2021" s="31"/>
      <c r="X2021" s="16">
        <f t="shared" si="234"/>
        <v>0</v>
      </c>
      <c r="Y2021" s="16">
        <f t="shared" si="236"/>
        <v>0</v>
      </c>
    </row>
    <row r="2022" spans="1:25" s="30" customFormat="1" ht="15">
      <c r="A2022" s="112"/>
      <c r="B2022" s="864" t="s">
        <v>1461</v>
      </c>
      <c r="C2022" s="43"/>
      <c r="D2022" s="718"/>
      <c r="E2022" s="786"/>
      <c r="H2022" s="722"/>
      <c r="I2022" s="722"/>
      <c r="J2022" s="479">
        <f>J2023+J2026</f>
        <v>0</v>
      </c>
      <c r="K2022" s="479">
        <f t="shared" ref="K2022:M2022" si="260">K2023+K2026</f>
        <v>6000</v>
      </c>
      <c r="L2022" s="479">
        <f t="shared" si="260"/>
        <v>5000</v>
      </c>
      <c r="M2022" s="479">
        <f t="shared" si="260"/>
        <v>11000</v>
      </c>
      <c r="N2022" s="715"/>
      <c r="O2022" s="818"/>
      <c r="P2022" s="32"/>
      <c r="Q2022" s="352">
        <f>Q2023+Q2026</f>
        <v>10234</v>
      </c>
      <c r="R2022" s="352">
        <f>R2023+R2026</f>
        <v>10234</v>
      </c>
      <c r="S2022" s="898"/>
      <c r="T2022" s="898"/>
      <c r="U2022" s="898"/>
      <c r="V2022" s="32"/>
      <c r="W2022" s="43"/>
      <c r="X2022" s="16">
        <f t="shared" si="234"/>
        <v>11000</v>
      </c>
      <c r="Y2022" s="16">
        <f t="shared" si="236"/>
        <v>0</v>
      </c>
    </row>
    <row r="2023" spans="1:25" s="30" customFormat="1" ht="15" customHeight="1">
      <c r="A2023" s="112"/>
      <c r="B2023" s="1031" t="s">
        <v>1462</v>
      </c>
      <c r="C2023" s="43"/>
      <c r="D2023" s="718"/>
      <c r="E2023" s="32"/>
      <c r="H2023" s="717"/>
      <c r="I2023" s="717"/>
      <c r="J2023" s="479">
        <f t="shared" ref="J2023" si="261">J2024</f>
        <v>0</v>
      </c>
      <c r="K2023" s="479">
        <f>K2024</f>
        <v>1000</v>
      </c>
      <c r="L2023" s="479">
        <f t="shared" ref="L2023:M2023" si="262">L2024</f>
        <v>0</v>
      </c>
      <c r="M2023" s="479">
        <f t="shared" si="262"/>
        <v>1000</v>
      </c>
      <c r="N2023" s="716"/>
      <c r="O2023" s="820"/>
      <c r="P2023" s="43"/>
      <c r="Q2023" s="352">
        <f>Q2024</f>
        <v>1000</v>
      </c>
      <c r="R2023" s="352">
        <f>R2024</f>
        <v>1000</v>
      </c>
      <c r="S2023" s="894"/>
      <c r="T2023" s="894"/>
      <c r="U2023" s="894"/>
      <c r="V2023" s="32" t="s">
        <v>517</v>
      </c>
      <c r="X2023" s="16">
        <f t="shared" si="234"/>
        <v>1000</v>
      </c>
      <c r="Y2023" s="16">
        <f t="shared" si="236"/>
        <v>0</v>
      </c>
    </row>
    <row r="2024" spans="1:25" s="39" customFormat="1" ht="15.95" customHeight="1">
      <c r="B2024" s="865" t="s">
        <v>181</v>
      </c>
      <c r="C2024" s="482" t="s">
        <v>1464</v>
      </c>
      <c r="D2024" s="483">
        <v>40884</v>
      </c>
      <c r="E2024" s="786" t="s">
        <v>4973</v>
      </c>
      <c r="F2024" s="497" t="s">
        <v>5653</v>
      </c>
      <c r="G2024" s="498"/>
      <c r="H2024" s="519">
        <v>270041</v>
      </c>
      <c r="I2024" s="519"/>
      <c r="J2024" s="485"/>
      <c r="K2024" s="485">
        <v>1000</v>
      </c>
      <c r="L2024" s="485"/>
      <c r="M2024" s="485">
        <f>SUM(J2024:L2024)</f>
        <v>1000</v>
      </c>
      <c r="N2024" s="721">
        <f>M2024+H2024</f>
        <v>271041</v>
      </c>
      <c r="O2024" s="23"/>
      <c r="P2024" s="1137" t="s">
        <v>102</v>
      </c>
      <c r="Q2024" s="187">
        <v>1000</v>
      </c>
      <c r="R2024" s="187">
        <v>1000</v>
      </c>
      <c r="S2024" s="877" t="s">
        <v>1465</v>
      </c>
      <c r="T2024" s="877"/>
      <c r="U2024" s="877"/>
      <c r="V2024" s="22"/>
      <c r="W2024" s="31" t="s">
        <v>1463</v>
      </c>
      <c r="X2024" s="16">
        <f t="shared" si="234"/>
        <v>1000</v>
      </c>
      <c r="Y2024" s="16">
        <f t="shared" si="236"/>
        <v>0</v>
      </c>
    </row>
    <row r="2025" spans="1:25" s="30" customFormat="1" ht="15">
      <c r="A2025" s="112"/>
      <c r="B2025" s="21"/>
      <c r="C2025" s="23"/>
      <c r="D2025" s="380"/>
      <c r="E2025" s="23"/>
      <c r="F2025" s="22"/>
      <c r="G2025" s="22"/>
      <c r="H2025" s="22"/>
      <c r="I2025" s="22"/>
      <c r="J2025" s="22"/>
      <c r="K2025" s="22"/>
      <c r="L2025" s="22"/>
      <c r="M2025" s="22"/>
      <c r="N2025" s="22"/>
      <c r="O2025" s="818"/>
      <c r="P2025" s="165"/>
      <c r="Q2025" s="351"/>
      <c r="R2025" s="351"/>
      <c r="S2025" s="898"/>
      <c r="T2025" s="898"/>
      <c r="U2025" s="898"/>
      <c r="V2025" s="32"/>
      <c r="W2025" s="43"/>
      <c r="X2025" s="16">
        <f t="shared" si="234"/>
        <v>0</v>
      </c>
      <c r="Y2025" s="16">
        <f t="shared" si="236"/>
        <v>0</v>
      </c>
    </row>
    <row r="2026" spans="1:25" s="30" customFormat="1" ht="15" customHeight="1">
      <c r="A2026" s="112"/>
      <c r="B2026" s="1031" t="s">
        <v>1466</v>
      </c>
      <c r="C2026" s="43"/>
      <c r="D2026" s="718"/>
      <c r="E2026" s="329"/>
      <c r="H2026" s="717"/>
      <c r="I2026" s="717"/>
      <c r="J2026" s="479">
        <f>J2027+J2028</f>
        <v>0</v>
      </c>
      <c r="K2026" s="479">
        <f t="shared" ref="K2026:M2026" si="263">K2027+K2028</f>
        <v>5000</v>
      </c>
      <c r="L2026" s="479">
        <f t="shared" si="263"/>
        <v>5000</v>
      </c>
      <c r="M2026" s="479">
        <f t="shared" si="263"/>
        <v>10000</v>
      </c>
      <c r="N2026" s="716"/>
      <c r="O2026" s="817"/>
      <c r="P2026" s="43"/>
      <c r="Q2026" s="352">
        <f>Q2027+Q2028</f>
        <v>9234</v>
      </c>
      <c r="R2026" s="352">
        <f>R2027+R2028</f>
        <v>9234</v>
      </c>
      <c r="S2026" s="897"/>
      <c r="T2026" s="897"/>
      <c r="U2026" s="897"/>
      <c r="V2026" s="32" t="s">
        <v>517</v>
      </c>
      <c r="X2026" s="16">
        <f t="shared" si="234"/>
        <v>10000</v>
      </c>
      <c r="Y2026" s="16">
        <f t="shared" si="236"/>
        <v>0</v>
      </c>
    </row>
    <row r="2027" spans="1:25" s="30" customFormat="1" ht="15" customHeight="1">
      <c r="A2027" s="112"/>
      <c r="B2027" s="863" t="s">
        <v>1468</v>
      </c>
      <c r="C2027" s="482" t="s">
        <v>1469</v>
      </c>
      <c r="D2027" s="483">
        <v>40899</v>
      </c>
      <c r="E2027" s="786" t="s">
        <v>2869</v>
      </c>
      <c r="F2027" s="1181" t="s">
        <v>5649</v>
      </c>
      <c r="G2027" s="481"/>
      <c r="H2027" s="486"/>
      <c r="I2027" s="486"/>
      <c r="J2027" s="485"/>
      <c r="K2027" s="485">
        <v>5000</v>
      </c>
      <c r="L2027" s="485"/>
      <c r="M2027" s="485">
        <f>SUM(J2027:L2027)</f>
        <v>5000</v>
      </c>
      <c r="N2027" s="715"/>
      <c r="O2027" s="817"/>
      <c r="P2027" s="1137" t="s">
        <v>102</v>
      </c>
      <c r="Q2027" s="187">
        <v>5000</v>
      </c>
      <c r="R2027" s="187">
        <v>5000</v>
      </c>
      <c r="S2027" s="897" t="s">
        <v>4650</v>
      </c>
      <c r="T2027" s="897"/>
      <c r="U2027" s="897"/>
      <c r="V2027" s="32" t="s">
        <v>517</v>
      </c>
      <c r="W2027" s="31" t="s">
        <v>1467</v>
      </c>
      <c r="X2027" s="16">
        <f t="shared" si="234"/>
        <v>5000</v>
      </c>
      <c r="Y2027" s="16">
        <f t="shared" ref="Y2027:Y2059" si="264">X2027-M2027</f>
        <v>0</v>
      </c>
    </row>
    <row r="2028" spans="1:25" s="39" customFormat="1" ht="15.95" customHeight="1">
      <c r="B2028" s="261" t="s">
        <v>1470</v>
      </c>
      <c r="C2028" s="510" t="s">
        <v>1471</v>
      </c>
      <c r="D2028" s="511">
        <v>40899</v>
      </c>
      <c r="E2028" s="803" t="s">
        <v>2869</v>
      </c>
      <c r="F2028" s="1181" t="s">
        <v>5649</v>
      </c>
      <c r="G2028" s="509"/>
      <c r="H2028" s="486"/>
      <c r="I2028" s="486"/>
      <c r="J2028" s="173"/>
      <c r="K2028" s="173"/>
      <c r="L2028" s="173">
        <v>5000</v>
      </c>
      <c r="M2028" s="173">
        <f>SUM(J2028:L2028)</f>
        <v>5000</v>
      </c>
      <c r="N2028" s="715"/>
      <c r="O2028" s="23"/>
      <c r="P2028" s="1137" t="s">
        <v>102</v>
      </c>
      <c r="Q2028" s="216">
        <v>4234</v>
      </c>
      <c r="R2028" s="216">
        <v>4234</v>
      </c>
      <c r="S2028" s="1324" t="s">
        <v>5805</v>
      </c>
      <c r="T2028" s="1324"/>
      <c r="U2028" s="1324"/>
      <c r="V2028" s="22"/>
      <c r="W2028" s="31" t="s">
        <v>1467</v>
      </c>
      <c r="X2028" s="16">
        <f t="shared" si="234"/>
        <v>5000</v>
      </c>
      <c r="Y2028" s="16">
        <f t="shared" si="264"/>
        <v>0</v>
      </c>
    </row>
    <row r="2029" spans="1:25" s="39" customFormat="1" ht="15.95" customHeight="1">
      <c r="B2029" s="21"/>
      <c r="C2029" s="23"/>
      <c r="D2029" s="380"/>
      <c r="E2029" s="23"/>
      <c r="F2029" s="22"/>
      <c r="G2029" s="22"/>
      <c r="H2029" s="22"/>
      <c r="I2029" s="22"/>
      <c r="J2029" s="22"/>
      <c r="K2029" s="22"/>
      <c r="L2029" s="22"/>
      <c r="M2029" s="22"/>
      <c r="N2029" s="22"/>
      <c r="O2029" s="23"/>
      <c r="P2029" s="165"/>
      <c r="Q2029" s="216"/>
      <c r="R2029" s="216"/>
      <c r="S2029" s="877"/>
      <c r="T2029" s="877"/>
      <c r="U2029" s="877"/>
      <c r="V2029" s="22"/>
      <c r="X2029" s="16">
        <f t="shared" si="234"/>
        <v>0</v>
      </c>
      <c r="Y2029" s="16">
        <f t="shared" si="264"/>
        <v>0</v>
      </c>
    </row>
    <row r="2030" spans="1:25" s="30" customFormat="1" ht="15">
      <c r="A2030" s="112"/>
      <c r="B2030" s="864" t="s">
        <v>1472</v>
      </c>
      <c r="C2030" s="23"/>
      <c r="D2030" s="380"/>
      <c r="E2030" s="786"/>
      <c r="F2030" s="22"/>
      <c r="G2030" s="22"/>
      <c r="H2030" s="22"/>
      <c r="I2030" s="22"/>
      <c r="J2030" s="36">
        <f>J2031+J2033+J2036</f>
        <v>0</v>
      </c>
      <c r="K2030" s="36">
        <f t="shared" ref="K2030:M2030" si="265">K2031+K2033+K2036</f>
        <v>2500</v>
      </c>
      <c r="L2030" s="36">
        <f t="shared" si="265"/>
        <v>0</v>
      </c>
      <c r="M2030" s="36">
        <f t="shared" si="265"/>
        <v>2500</v>
      </c>
      <c r="N2030" s="22"/>
      <c r="O2030" s="818"/>
      <c r="P2030" s="165"/>
      <c r="Q2030" s="36">
        <f t="shared" ref="Q2030:R2030" si="266">Q2031+Q2033+Q2036</f>
        <v>0</v>
      </c>
      <c r="R2030" s="36">
        <f t="shared" si="266"/>
        <v>0</v>
      </c>
      <c r="S2030" s="898"/>
      <c r="T2030" s="898"/>
      <c r="U2030" s="898"/>
      <c r="V2030" s="32"/>
      <c r="W2030" s="43"/>
      <c r="X2030" s="16">
        <f t="shared" si="234"/>
        <v>2500</v>
      </c>
      <c r="Y2030" s="16">
        <f t="shared" si="264"/>
        <v>0</v>
      </c>
    </row>
    <row r="2031" spans="1:25" s="30" customFormat="1" ht="15">
      <c r="A2031" s="112"/>
      <c r="B2031" s="1031" t="s">
        <v>1473</v>
      </c>
      <c r="C2031" s="43"/>
      <c r="D2031" s="718"/>
      <c r="E2031" s="329"/>
      <c r="H2031" s="717"/>
      <c r="I2031" s="717"/>
      <c r="J2031" s="479">
        <f t="shared" ref="J2031" si="267">J2032</f>
        <v>0</v>
      </c>
      <c r="K2031" s="479">
        <f>K2032</f>
        <v>1000</v>
      </c>
      <c r="L2031" s="479">
        <f t="shared" ref="L2031:M2031" si="268">L2032</f>
        <v>0</v>
      </c>
      <c r="M2031" s="479">
        <f t="shared" si="268"/>
        <v>1000</v>
      </c>
      <c r="N2031" s="716"/>
      <c r="O2031" s="820"/>
      <c r="P2031" s="43"/>
      <c r="Q2031" s="479">
        <f t="shared" ref="Q2031:R2031" si="269">Q2032</f>
        <v>0</v>
      </c>
      <c r="R2031" s="479">
        <f t="shared" si="269"/>
        <v>0</v>
      </c>
      <c r="S2031" s="894"/>
      <c r="T2031" s="894"/>
      <c r="U2031" s="894"/>
      <c r="V2031" s="32" t="s">
        <v>517</v>
      </c>
      <c r="W2031" s="31" t="s">
        <v>1474</v>
      </c>
      <c r="X2031" s="16">
        <f t="shared" si="234"/>
        <v>1000</v>
      </c>
      <c r="Y2031" s="16">
        <f t="shared" si="264"/>
        <v>0</v>
      </c>
    </row>
    <row r="2032" spans="1:25" s="30" customFormat="1" ht="45">
      <c r="A2032" s="112"/>
      <c r="B2032" s="863" t="s">
        <v>1393</v>
      </c>
      <c r="C2032" s="482" t="s">
        <v>1475</v>
      </c>
      <c r="D2032" s="483">
        <v>40884</v>
      </c>
      <c r="E2032" s="786" t="s">
        <v>4992</v>
      </c>
      <c r="F2032" s="497" t="s">
        <v>5654</v>
      </c>
      <c r="G2032" s="498"/>
      <c r="H2032" s="519">
        <v>61181</v>
      </c>
      <c r="I2032" s="519"/>
      <c r="J2032" s="485"/>
      <c r="K2032" s="485">
        <v>1000</v>
      </c>
      <c r="L2032" s="485"/>
      <c r="M2032" s="485">
        <f t="shared" ref="M2032" si="270">SUM(J2032:L2032)</f>
        <v>1000</v>
      </c>
      <c r="N2032" s="721">
        <f>M2032+H2032</f>
        <v>62181</v>
      </c>
      <c r="O2032" s="818"/>
      <c r="P2032" s="1137" t="s">
        <v>102</v>
      </c>
      <c r="Q2032" s="524"/>
      <c r="R2032" s="524"/>
      <c r="S2032" s="898"/>
      <c r="T2032" s="898"/>
      <c r="U2032" s="898"/>
      <c r="V2032" s="32"/>
      <c r="W2032" s="43"/>
      <c r="X2032" s="16">
        <f t="shared" si="234"/>
        <v>1000</v>
      </c>
      <c r="Y2032" s="16">
        <f t="shared" si="264"/>
        <v>0</v>
      </c>
    </row>
    <row r="2033" spans="1:25" s="30" customFormat="1" ht="15">
      <c r="A2033" s="112"/>
      <c r="B2033" s="1031" t="s">
        <v>1476</v>
      </c>
      <c r="C2033" s="43"/>
      <c r="D2033" s="718"/>
      <c r="E2033" s="329"/>
      <c r="H2033" s="717"/>
      <c r="I2033" s="717"/>
      <c r="J2033" s="479">
        <f t="shared" ref="J2033" si="271">J2034</f>
        <v>0</v>
      </c>
      <c r="K2033" s="479">
        <f>K2034</f>
        <v>500</v>
      </c>
      <c r="L2033" s="479">
        <f t="shared" ref="L2033:M2033" si="272">L2034</f>
        <v>0</v>
      </c>
      <c r="M2033" s="479">
        <f t="shared" si="272"/>
        <v>500</v>
      </c>
      <c r="N2033" s="716"/>
      <c r="O2033" s="820"/>
      <c r="P2033" s="43"/>
      <c r="Q2033" s="479">
        <f t="shared" ref="Q2033:R2033" si="273">Q2034</f>
        <v>0</v>
      </c>
      <c r="R2033" s="479">
        <f t="shared" si="273"/>
        <v>0</v>
      </c>
      <c r="S2033" s="894"/>
      <c r="T2033" s="894"/>
      <c r="U2033" s="894"/>
      <c r="V2033" s="32" t="s">
        <v>517</v>
      </c>
      <c r="W2033" s="31" t="s">
        <v>1477</v>
      </c>
      <c r="X2033" s="16">
        <f t="shared" si="234"/>
        <v>500</v>
      </c>
      <c r="Y2033" s="16">
        <f t="shared" si="264"/>
        <v>0</v>
      </c>
    </row>
    <row r="2034" spans="1:25" s="39" customFormat="1" ht="15.95" customHeight="1">
      <c r="B2034" s="863" t="s">
        <v>1393</v>
      </c>
      <c r="C2034" s="482" t="s">
        <v>1478</v>
      </c>
      <c r="D2034" s="483">
        <v>40857</v>
      </c>
      <c r="E2034" s="786" t="s">
        <v>4973</v>
      </c>
      <c r="F2034" s="501" t="s">
        <v>5655</v>
      </c>
      <c r="G2034" s="481"/>
      <c r="H2034" s="519">
        <v>86196</v>
      </c>
      <c r="I2034" s="519"/>
      <c r="J2034" s="485"/>
      <c r="K2034" s="485">
        <v>500</v>
      </c>
      <c r="L2034" s="485"/>
      <c r="M2034" s="485">
        <f t="shared" ref="M2034" si="274">SUM(J2034:L2034)</f>
        <v>500</v>
      </c>
      <c r="N2034" s="721">
        <f>M2034+H2034</f>
        <v>86696</v>
      </c>
      <c r="O2034" s="23"/>
      <c r="P2034" s="1137" t="s">
        <v>102</v>
      </c>
      <c r="Q2034" s="216"/>
      <c r="R2034" s="216"/>
      <c r="S2034" s="877"/>
      <c r="T2034" s="877"/>
      <c r="U2034" s="877"/>
      <c r="V2034" s="22"/>
      <c r="X2034" s="16">
        <f t="shared" si="234"/>
        <v>500</v>
      </c>
      <c r="Y2034" s="16">
        <f t="shared" si="264"/>
        <v>0</v>
      </c>
    </row>
    <row r="2035" spans="1:25" s="39" customFormat="1" ht="15.95" customHeight="1">
      <c r="B2035" s="21"/>
      <c r="C2035" s="23"/>
      <c r="D2035" s="380"/>
      <c r="E2035" s="23"/>
      <c r="F2035" s="22"/>
      <c r="G2035" s="22"/>
      <c r="H2035" s="22"/>
      <c r="I2035" s="22"/>
      <c r="J2035" s="22"/>
      <c r="K2035" s="22"/>
      <c r="L2035" s="22"/>
      <c r="M2035" s="22"/>
      <c r="N2035" s="22"/>
      <c r="O2035" s="818"/>
      <c r="P2035" s="165"/>
      <c r="Q2035" s="524"/>
      <c r="R2035" s="524"/>
      <c r="S2035" s="898"/>
      <c r="T2035" s="898"/>
      <c r="U2035" s="898"/>
      <c r="V2035" s="32"/>
      <c r="W2035" s="43"/>
      <c r="X2035" s="16">
        <f t="shared" si="234"/>
        <v>0</v>
      </c>
      <c r="Y2035" s="16">
        <f t="shared" si="264"/>
        <v>0</v>
      </c>
    </row>
    <row r="2036" spans="1:25" s="39" customFormat="1" ht="15.95" customHeight="1">
      <c r="B2036" s="1031" t="s">
        <v>196</v>
      </c>
      <c r="C2036" s="43"/>
      <c r="D2036" s="718"/>
      <c r="E2036" s="329"/>
      <c r="F2036" s="30"/>
      <c r="G2036" s="30"/>
      <c r="H2036" s="717"/>
      <c r="I2036" s="717"/>
      <c r="J2036" s="479">
        <f t="shared" ref="J2036" si="275">SUM(J2037:J2086)</f>
        <v>0</v>
      </c>
      <c r="K2036" s="479">
        <f>K2037+K2042</f>
        <v>1000</v>
      </c>
      <c r="L2036" s="479">
        <f t="shared" ref="L2036:M2036" si="276">L2037+L2042</f>
        <v>0</v>
      </c>
      <c r="M2036" s="479">
        <f t="shared" si="276"/>
        <v>1000</v>
      </c>
      <c r="N2036" s="716"/>
      <c r="O2036" s="820"/>
      <c r="P2036" s="43"/>
      <c r="Q2036" s="479">
        <f t="shared" ref="Q2036:R2036" si="277">Q2037+Q2042</f>
        <v>0</v>
      </c>
      <c r="R2036" s="479">
        <f t="shared" si="277"/>
        <v>0</v>
      </c>
      <c r="S2036" s="894"/>
      <c r="T2036" s="894"/>
      <c r="U2036" s="894"/>
      <c r="V2036" s="32" t="s">
        <v>517</v>
      </c>
      <c r="W2036" s="31" t="s">
        <v>1479</v>
      </c>
      <c r="X2036" s="16">
        <f t="shared" si="234"/>
        <v>1000</v>
      </c>
      <c r="Y2036" s="16">
        <f t="shared" si="264"/>
        <v>0</v>
      </c>
    </row>
    <row r="2037" spans="1:25" s="39" customFormat="1" ht="15.95" customHeight="1">
      <c r="B2037" s="865" t="s">
        <v>181</v>
      </c>
      <c r="C2037" s="482" t="s">
        <v>1480</v>
      </c>
      <c r="D2037" s="483">
        <v>40884</v>
      </c>
      <c r="E2037" s="786" t="s">
        <v>4973</v>
      </c>
      <c r="F2037" s="512" t="s">
        <v>5656</v>
      </c>
      <c r="G2037" s="498"/>
      <c r="H2037" s="519">
        <v>88753</v>
      </c>
      <c r="I2037" s="519"/>
      <c r="J2037" s="485"/>
      <c r="K2037" s="485">
        <v>1000</v>
      </c>
      <c r="L2037" s="485"/>
      <c r="M2037" s="485">
        <f t="shared" ref="M2037" si="278">SUM(J2037:L2037)</f>
        <v>1000</v>
      </c>
      <c r="N2037" s="721">
        <f>M2037+H2037</f>
        <v>89753</v>
      </c>
      <c r="O2037" s="820"/>
      <c r="P2037" s="1137" t="s">
        <v>102</v>
      </c>
      <c r="Q2037" s="508"/>
      <c r="R2037" s="508"/>
      <c r="S2037" s="894"/>
      <c r="T2037" s="894"/>
      <c r="U2037" s="894"/>
      <c r="V2037" s="32"/>
      <c r="W2037" s="31"/>
      <c r="X2037" s="16">
        <f t="shared" si="234"/>
        <v>1000</v>
      </c>
      <c r="Y2037" s="16">
        <f t="shared" si="264"/>
        <v>0</v>
      </c>
    </row>
    <row r="2038" spans="1:25" s="39" customFormat="1" ht="15.95" customHeight="1">
      <c r="B2038" s="865"/>
      <c r="C2038" s="482"/>
      <c r="D2038" s="483"/>
      <c r="E2038" s="786"/>
      <c r="F2038" s="512"/>
      <c r="G2038" s="498"/>
      <c r="H2038" s="519"/>
      <c r="I2038" s="519"/>
      <c r="J2038" s="485"/>
      <c r="K2038" s="485"/>
      <c r="L2038" s="485"/>
      <c r="M2038" s="485"/>
      <c r="N2038" s="721"/>
      <c r="O2038" s="23"/>
      <c r="P2038" s="32"/>
      <c r="Q2038" s="216"/>
      <c r="R2038" s="216"/>
      <c r="S2038" s="877"/>
      <c r="T2038" s="877"/>
      <c r="U2038" s="877"/>
      <c r="V2038" s="22"/>
      <c r="X2038" s="16">
        <f t="shared" si="234"/>
        <v>0</v>
      </c>
      <c r="Y2038" s="16">
        <f t="shared" si="264"/>
        <v>0</v>
      </c>
    </row>
    <row r="2039" spans="1:25" s="30" customFormat="1" ht="15">
      <c r="A2039" s="112"/>
      <c r="B2039" s="864" t="s">
        <v>1481</v>
      </c>
      <c r="C2039" s="23"/>
      <c r="D2039" s="380"/>
      <c r="E2039" s="786"/>
      <c r="F2039" s="22"/>
      <c r="G2039" s="22"/>
      <c r="H2039" s="22"/>
      <c r="I2039" s="22"/>
      <c r="J2039" s="36">
        <f>J2040+J2043</f>
        <v>0</v>
      </c>
      <c r="K2039" s="36">
        <f t="shared" ref="K2039:M2039" si="279">K2040+K2043</f>
        <v>2000</v>
      </c>
      <c r="L2039" s="36">
        <f t="shared" si="279"/>
        <v>0</v>
      </c>
      <c r="M2039" s="36">
        <f t="shared" si="279"/>
        <v>2000</v>
      </c>
      <c r="N2039" s="22"/>
      <c r="O2039" s="818"/>
      <c r="P2039" s="165"/>
      <c r="Q2039" s="36">
        <f t="shared" ref="Q2039:R2039" si="280">Q2040+Q2043</f>
        <v>1712</v>
      </c>
      <c r="R2039" s="36">
        <f t="shared" si="280"/>
        <v>1712</v>
      </c>
      <c r="S2039" s="898"/>
      <c r="T2039" s="898"/>
      <c r="U2039" s="898"/>
      <c r="V2039" s="32"/>
      <c r="W2039" s="43"/>
      <c r="X2039" s="16">
        <f t="shared" si="234"/>
        <v>2000</v>
      </c>
      <c r="Y2039" s="16">
        <f t="shared" si="264"/>
        <v>0</v>
      </c>
    </row>
    <row r="2040" spans="1:25" s="30" customFormat="1" ht="15">
      <c r="A2040" s="112"/>
      <c r="B2040" s="1031" t="s">
        <v>1482</v>
      </c>
      <c r="C2040" s="43"/>
      <c r="D2040" s="718"/>
      <c r="E2040" s="329"/>
      <c r="H2040" s="717"/>
      <c r="I2040" s="717"/>
      <c r="J2040" s="479">
        <f t="shared" ref="J2040" si="281">SUM(J2041:J2042)</f>
        <v>0</v>
      </c>
      <c r="K2040" s="479">
        <f>SUM(K2041:K2042)</f>
        <v>1000</v>
      </c>
      <c r="L2040" s="479">
        <f t="shared" ref="L2040:M2040" si="282">SUM(L2041:L2042)</f>
        <v>0</v>
      </c>
      <c r="M2040" s="479">
        <f t="shared" si="282"/>
        <v>1000</v>
      </c>
      <c r="N2040" s="716"/>
      <c r="O2040" s="818"/>
      <c r="P2040" s="43"/>
      <c r="Q2040" s="479">
        <f t="shared" ref="Q2040:R2040" si="283">SUM(Q2041:Q2042)</f>
        <v>712</v>
      </c>
      <c r="R2040" s="479">
        <f t="shared" si="283"/>
        <v>712</v>
      </c>
      <c r="S2040" s="898"/>
      <c r="T2040" s="898"/>
      <c r="U2040" s="898"/>
      <c r="V2040" s="43" t="s">
        <v>517</v>
      </c>
      <c r="W2040" s="31" t="s">
        <v>1483</v>
      </c>
      <c r="X2040" s="16">
        <f t="shared" si="234"/>
        <v>1000</v>
      </c>
      <c r="Y2040" s="16">
        <f t="shared" si="264"/>
        <v>0</v>
      </c>
    </row>
    <row r="2041" spans="1:25" s="39" customFormat="1" ht="15.95" customHeight="1">
      <c r="B2041" s="865" t="s">
        <v>181</v>
      </c>
      <c r="C2041" s="482" t="s">
        <v>1484</v>
      </c>
      <c r="D2041" s="483">
        <v>40884</v>
      </c>
      <c r="E2041" s="786" t="s">
        <v>2869</v>
      </c>
      <c r="F2041" s="497" t="s">
        <v>5649</v>
      </c>
      <c r="G2041" s="498"/>
      <c r="H2041" s="717">
        <v>51169</v>
      </c>
      <c r="I2041" s="717"/>
      <c r="J2041" s="485"/>
      <c r="K2041" s="485">
        <v>1000</v>
      </c>
      <c r="L2041" s="485"/>
      <c r="M2041" s="485">
        <f t="shared" ref="M2041" si="284">SUM(J2041:L2041)</f>
        <v>1000</v>
      </c>
      <c r="N2041" s="716">
        <f>M2041+H2041</f>
        <v>52169</v>
      </c>
      <c r="O2041" s="23"/>
      <c r="P2041" s="1137" t="s">
        <v>102</v>
      </c>
      <c r="Q2041" s="216">
        <v>712</v>
      </c>
      <c r="R2041" s="216">
        <v>712</v>
      </c>
      <c r="S2041" s="877" t="s">
        <v>4799</v>
      </c>
      <c r="T2041" s="877"/>
      <c r="U2041" s="877"/>
      <c r="V2041" s="22"/>
      <c r="X2041" s="16">
        <f t="shared" si="234"/>
        <v>1000</v>
      </c>
      <c r="Y2041" s="16">
        <f t="shared" si="264"/>
        <v>0</v>
      </c>
    </row>
    <row r="2042" spans="1:25" s="30" customFormat="1" ht="15">
      <c r="A2042" s="112"/>
      <c r="B2042" s="21"/>
      <c r="C2042" s="23"/>
      <c r="D2042" s="380"/>
      <c r="E2042" s="23"/>
      <c r="F2042" s="22"/>
      <c r="G2042" s="22"/>
      <c r="H2042" s="22"/>
      <c r="I2042" s="22"/>
      <c r="J2042" s="22"/>
      <c r="K2042" s="22"/>
      <c r="L2042" s="22"/>
      <c r="M2042" s="22"/>
      <c r="N2042" s="22"/>
      <c r="O2042" s="818"/>
      <c r="P2042" s="165"/>
      <c r="Q2042" s="524"/>
      <c r="R2042" s="524"/>
      <c r="S2042" s="898"/>
      <c r="T2042" s="898"/>
      <c r="U2042" s="898"/>
      <c r="V2042" s="32"/>
      <c r="W2042" s="43"/>
      <c r="X2042" s="16">
        <f t="shared" si="234"/>
        <v>0</v>
      </c>
      <c r="Y2042" s="16">
        <f t="shared" si="264"/>
        <v>0</v>
      </c>
    </row>
    <row r="2043" spans="1:25" s="30" customFormat="1" ht="15">
      <c r="A2043" s="112"/>
      <c r="B2043" s="1031" t="s">
        <v>1485</v>
      </c>
      <c r="C2043" s="43"/>
      <c r="D2043" s="718"/>
      <c r="E2043" s="329"/>
      <c r="H2043" s="717"/>
      <c r="I2043" s="717"/>
      <c r="J2043" s="479">
        <f t="shared" ref="J2043" si="285">SUM(J2044:J2060)</f>
        <v>0</v>
      </c>
      <c r="K2043" s="479">
        <f>K2044+K2051</f>
        <v>1000</v>
      </c>
      <c r="L2043" s="479">
        <f t="shared" ref="L2043:M2043" si="286">L2044+L2051</f>
        <v>0</v>
      </c>
      <c r="M2043" s="479">
        <f t="shared" si="286"/>
        <v>1000</v>
      </c>
      <c r="N2043" s="716"/>
      <c r="O2043" s="822"/>
      <c r="P2043" s="43"/>
      <c r="Q2043" s="479">
        <f t="shared" ref="Q2043:R2043" si="287">Q2044+Q2051</f>
        <v>1000</v>
      </c>
      <c r="R2043" s="479">
        <f t="shared" si="287"/>
        <v>1000</v>
      </c>
      <c r="S2043" s="898"/>
      <c r="T2043" s="898"/>
      <c r="U2043" s="898"/>
      <c r="V2043" s="32" t="s">
        <v>517</v>
      </c>
      <c r="W2043" s="12" t="s">
        <v>1486</v>
      </c>
      <c r="X2043" s="16">
        <f t="shared" si="234"/>
        <v>1000</v>
      </c>
      <c r="Y2043" s="16">
        <f t="shared" si="264"/>
        <v>0</v>
      </c>
    </row>
    <row r="2044" spans="1:25" s="30" customFormat="1" ht="15">
      <c r="A2044" s="112"/>
      <c r="B2044" s="865" t="s">
        <v>181</v>
      </c>
      <c r="C2044" s="482" t="s">
        <v>1487</v>
      </c>
      <c r="D2044" s="483">
        <v>40884</v>
      </c>
      <c r="E2044" s="786" t="s">
        <v>2869</v>
      </c>
      <c r="F2044" s="497" t="s">
        <v>5649</v>
      </c>
      <c r="G2044" s="498"/>
      <c r="H2044" s="519">
        <v>174408</v>
      </c>
      <c r="I2044" s="717"/>
      <c r="J2044" s="485"/>
      <c r="K2044" s="485">
        <v>1000</v>
      </c>
      <c r="L2044" s="485"/>
      <c r="M2044" s="485">
        <f t="shared" ref="M2044" si="288">SUM(J2044:L2044)</f>
        <v>1000</v>
      </c>
      <c r="N2044" s="622">
        <f>M2044+H2044</f>
        <v>175408</v>
      </c>
      <c r="O2044" s="817"/>
      <c r="P2044" s="1137" t="s">
        <v>102</v>
      </c>
      <c r="Q2044" s="508">
        <v>1000</v>
      </c>
      <c r="R2044" s="508">
        <v>1000</v>
      </c>
      <c r="S2044" s="899" t="s">
        <v>4800</v>
      </c>
      <c r="T2044" s="899"/>
      <c r="U2044" s="899"/>
      <c r="V2044" s="32"/>
      <c r="W2044" s="43"/>
      <c r="X2044" s="16">
        <f t="shared" si="234"/>
        <v>1000</v>
      </c>
      <c r="Y2044" s="16">
        <f t="shared" si="264"/>
        <v>0</v>
      </c>
    </row>
    <row r="2045" spans="1:25" s="30" customFormat="1" ht="15">
      <c r="A2045" s="112"/>
      <c r="B2045" s="865"/>
      <c r="C2045" s="482"/>
      <c r="D2045" s="483"/>
      <c r="E2045" s="786"/>
      <c r="F2045" s="497"/>
      <c r="G2045" s="498"/>
      <c r="H2045" s="519"/>
      <c r="I2045" s="717"/>
      <c r="J2045" s="485"/>
      <c r="K2045" s="485"/>
      <c r="L2045" s="485"/>
      <c r="M2045" s="485"/>
      <c r="N2045" s="622"/>
      <c r="O2045" s="817"/>
      <c r="P2045" s="1137"/>
      <c r="Q2045" s="508"/>
      <c r="R2045" s="508"/>
      <c r="S2045" s="899"/>
      <c r="T2045" s="899"/>
      <c r="U2045" s="899"/>
      <c r="V2045" s="32"/>
      <c r="W2045" s="43"/>
      <c r="X2045" s="16"/>
      <c r="Y2045" s="16"/>
    </row>
    <row r="2046" spans="1:25" s="30" customFormat="1" ht="15">
      <c r="A2046" s="112"/>
      <c r="B2046" s="864" t="s">
        <v>1488</v>
      </c>
      <c r="C2046" s="482"/>
      <c r="D2046" s="483"/>
      <c r="E2046" s="786"/>
      <c r="F2046" s="497"/>
      <c r="G2046" s="498"/>
      <c r="H2046" s="722"/>
      <c r="I2046" s="722"/>
      <c r="J2046" s="500">
        <f>J2047+J2049+J2052</f>
        <v>0</v>
      </c>
      <c r="K2046" s="500">
        <f t="shared" ref="K2046:M2046" si="289">K2047+K2049+K2052</f>
        <v>3800</v>
      </c>
      <c r="L2046" s="500">
        <f t="shared" si="289"/>
        <v>1000</v>
      </c>
      <c r="M2046" s="500">
        <f t="shared" si="289"/>
        <v>4800</v>
      </c>
      <c r="N2046" s="715"/>
      <c r="O2046" s="818"/>
      <c r="P2046" s="43"/>
      <c r="Q2046" s="500">
        <f t="shared" ref="Q2046:R2046" si="290">Q2047+Q2049+Q2052</f>
        <v>4800</v>
      </c>
      <c r="R2046" s="500">
        <f t="shared" si="290"/>
        <v>3711.1</v>
      </c>
      <c r="S2046" s="898"/>
      <c r="T2046" s="898"/>
      <c r="U2046" s="898"/>
      <c r="V2046" s="32"/>
      <c r="W2046" s="43"/>
      <c r="X2046" s="16">
        <f t="shared" si="234"/>
        <v>4800</v>
      </c>
      <c r="Y2046" s="16">
        <f t="shared" si="264"/>
        <v>0</v>
      </c>
    </row>
    <row r="2047" spans="1:25" s="30" customFormat="1" ht="18" customHeight="1">
      <c r="A2047" s="112"/>
      <c r="B2047" s="1031" t="s">
        <v>1489</v>
      </c>
      <c r="C2047" s="43"/>
      <c r="D2047" s="718"/>
      <c r="E2047" s="329"/>
      <c r="H2047" s="717"/>
      <c r="I2047" s="717"/>
      <c r="J2047" s="479">
        <f t="shared" ref="J2047" si="291">J2048</f>
        <v>0</v>
      </c>
      <c r="K2047" s="479">
        <f>K2048</f>
        <v>500</v>
      </c>
      <c r="L2047" s="479">
        <f t="shared" ref="L2047:M2047" si="292">L2048</f>
        <v>0</v>
      </c>
      <c r="M2047" s="479">
        <f t="shared" si="292"/>
        <v>500</v>
      </c>
      <c r="N2047" s="716"/>
      <c r="O2047" s="820"/>
      <c r="P2047" s="43"/>
      <c r="Q2047" s="479">
        <f t="shared" ref="Q2047:R2047" si="293">Q2048</f>
        <v>500</v>
      </c>
      <c r="R2047" s="479">
        <f t="shared" si="293"/>
        <v>495</v>
      </c>
      <c r="S2047" s="894"/>
      <c r="T2047" s="894"/>
      <c r="U2047" s="894"/>
      <c r="V2047" s="32" t="s">
        <v>517</v>
      </c>
      <c r="W2047" s="31" t="s">
        <v>1490</v>
      </c>
      <c r="X2047" s="16">
        <f t="shared" si="234"/>
        <v>500</v>
      </c>
      <c r="Y2047" s="16">
        <f t="shared" si="264"/>
        <v>0</v>
      </c>
    </row>
    <row r="2048" spans="1:25" s="30" customFormat="1" ht="30">
      <c r="A2048" s="112"/>
      <c r="B2048" s="865" t="s">
        <v>181</v>
      </c>
      <c r="C2048" s="482" t="s">
        <v>1491</v>
      </c>
      <c r="D2048" s="483">
        <v>40857</v>
      </c>
      <c r="E2048" s="786" t="s">
        <v>5658</v>
      </c>
      <c r="F2048" s="497" t="s">
        <v>5657</v>
      </c>
      <c r="G2048" s="481"/>
      <c r="H2048" s="519">
        <v>49008</v>
      </c>
      <c r="I2048" s="519"/>
      <c r="J2048" s="485"/>
      <c r="K2048" s="485">
        <v>500</v>
      </c>
      <c r="L2048" s="485"/>
      <c r="M2048" s="485">
        <f>SUM(J2048:L2048)</f>
        <v>500</v>
      </c>
      <c r="N2048" s="721">
        <f>M2048+H2048</f>
        <v>49508</v>
      </c>
      <c r="O2048" s="818"/>
      <c r="P2048" s="1137" t="s">
        <v>102</v>
      </c>
      <c r="Q2048" s="506">
        <v>500</v>
      </c>
      <c r="R2048" s="506">
        <f>479+12+4</f>
        <v>495</v>
      </c>
      <c r="S2048" s="403" t="s">
        <v>1492</v>
      </c>
      <c r="T2048" s="898"/>
      <c r="U2048" s="898"/>
      <c r="V2048" s="32"/>
      <c r="W2048" s="43"/>
      <c r="X2048" s="16">
        <f t="shared" si="234"/>
        <v>500</v>
      </c>
      <c r="Y2048" s="16">
        <f t="shared" si="264"/>
        <v>0</v>
      </c>
    </row>
    <row r="2049" spans="1:25" s="30" customFormat="1" ht="15">
      <c r="A2049" s="112"/>
      <c r="B2049" s="1031" t="s">
        <v>1493</v>
      </c>
      <c r="C2049" s="43"/>
      <c r="D2049" s="718"/>
      <c r="E2049" s="329"/>
      <c r="H2049" s="717"/>
      <c r="I2049" s="717"/>
      <c r="J2049" s="479">
        <f t="shared" ref="J2049" si="294">J2050</f>
        <v>0</v>
      </c>
      <c r="K2049" s="479">
        <f>K2050</f>
        <v>1000</v>
      </c>
      <c r="L2049" s="479">
        <f t="shared" ref="L2049:M2049" si="295">L2050</f>
        <v>0</v>
      </c>
      <c r="M2049" s="479">
        <f t="shared" si="295"/>
        <v>1000</v>
      </c>
      <c r="N2049" s="716"/>
      <c r="O2049" s="820"/>
      <c r="P2049" s="43"/>
      <c r="Q2049" s="479">
        <f t="shared" ref="Q2049:R2049" si="296">Q2050</f>
        <v>1000</v>
      </c>
      <c r="R2049" s="479">
        <f t="shared" si="296"/>
        <v>653.1</v>
      </c>
      <c r="S2049" s="894"/>
      <c r="T2049" s="894"/>
      <c r="U2049" s="894"/>
      <c r="V2049" s="32" t="s">
        <v>517</v>
      </c>
      <c r="W2049" s="31" t="s">
        <v>1494</v>
      </c>
      <c r="X2049" s="16">
        <f t="shared" si="234"/>
        <v>1000</v>
      </c>
      <c r="Y2049" s="16">
        <f t="shared" si="264"/>
        <v>0</v>
      </c>
    </row>
    <row r="2050" spans="1:25" s="39" customFormat="1" ht="15.95" customHeight="1">
      <c r="B2050" s="863" t="s">
        <v>1393</v>
      </c>
      <c r="C2050" s="482" t="s">
        <v>1495</v>
      </c>
      <c r="D2050" s="483">
        <v>40884</v>
      </c>
      <c r="E2050" s="786" t="s">
        <v>2869</v>
      </c>
      <c r="F2050" s="497" t="s">
        <v>5649</v>
      </c>
      <c r="G2050" s="498"/>
      <c r="H2050" s="717">
        <v>51395</v>
      </c>
      <c r="I2050" s="717"/>
      <c r="J2050" s="485"/>
      <c r="K2050" s="485">
        <v>1000</v>
      </c>
      <c r="L2050" s="485"/>
      <c r="M2050" s="485">
        <f>SUM(J2050:L2050)</f>
        <v>1000</v>
      </c>
      <c r="N2050" s="721">
        <f>M2050+H2050</f>
        <v>52395</v>
      </c>
      <c r="O2050" s="23"/>
      <c r="P2050" s="1137" t="s">
        <v>102</v>
      </c>
      <c r="Q2050" s="506">
        <v>1000</v>
      </c>
      <c r="R2050" s="216">
        <v>653.1</v>
      </c>
      <c r="S2050" s="38" t="s">
        <v>6340</v>
      </c>
      <c r="T2050" s="877"/>
      <c r="U2050" s="877"/>
      <c r="V2050" s="22"/>
      <c r="X2050" s="16">
        <f t="shared" si="234"/>
        <v>1000</v>
      </c>
      <c r="Y2050" s="16">
        <f t="shared" si="264"/>
        <v>0</v>
      </c>
    </row>
    <row r="2051" spans="1:25" s="30" customFormat="1" ht="15">
      <c r="A2051" s="112"/>
      <c r="B2051" s="21"/>
      <c r="C2051" s="23"/>
      <c r="D2051" s="380"/>
      <c r="E2051" s="23"/>
      <c r="F2051" s="22"/>
      <c r="G2051" s="22"/>
      <c r="H2051" s="22"/>
      <c r="I2051" s="22"/>
      <c r="J2051" s="22"/>
      <c r="K2051" s="22"/>
      <c r="L2051" s="22"/>
      <c r="M2051" s="22"/>
      <c r="N2051" s="22"/>
      <c r="O2051" s="820"/>
      <c r="P2051" s="165"/>
      <c r="Q2051" s="508"/>
      <c r="R2051" s="508"/>
      <c r="S2051" s="894"/>
      <c r="T2051" s="894"/>
      <c r="U2051" s="894"/>
      <c r="V2051" s="32"/>
      <c r="W2051" s="43"/>
      <c r="X2051" s="16">
        <f t="shared" si="234"/>
        <v>0</v>
      </c>
      <c r="Y2051" s="16">
        <f t="shared" si="264"/>
        <v>0</v>
      </c>
    </row>
    <row r="2052" spans="1:25" s="30" customFormat="1" ht="15">
      <c r="A2052" s="112"/>
      <c r="B2052" s="1031" t="s">
        <v>1496</v>
      </c>
      <c r="C2052" s="43"/>
      <c r="D2052" s="718"/>
      <c r="E2052" s="329"/>
      <c r="H2052" s="717">
        <v>100112</v>
      </c>
      <c r="I2052" s="717"/>
      <c r="J2052" s="479">
        <f>SUM(J2053:J2054)</f>
        <v>0</v>
      </c>
      <c r="K2052" s="479">
        <f t="shared" ref="K2052:M2052" si="297">SUM(K2053:K2054)</f>
        <v>2300</v>
      </c>
      <c r="L2052" s="479">
        <f t="shared" si="297"/>
        <v>1000</v>
      </c>
      <c r="M2052" s="479">
        <f t="shared" si="297"/>
        <v>3300</v>
      </c>
      <c r="N2052" s="721">
        <f>M2052+H2052</f>
        <v>103412</v>
      </c>
      <c r="O2052" s="817"/>
      <c r="P2052" s="43"/>
      <c r="Q2052" s="479">
        <f t="shared" ref="Q2052:R2052" si="298">SUM(Q2053:Q2054)</f>
        <v>3300</v>
      </c>
      <c r="R2052" s="479">
        <f t="shared" si="298"/>
        <v>2563</v>
      </c>
      <c r="S2052" s="897"/>
      <c r="T2052" s="897"/>
      <c r="U2052" s="897"/>
      <c r="V2052" s="32" t="s">
        <v>517</v>
      </c>
      <c r="W2052" s="31" t="s">
        <v>1497</v>
      </c>
      <c r="X2052" s="16">
        <f t="shared" si="234"/>
        <v>3300</v>
      </c>
      <c r="Y2052" s="16">
        <f t="shared" si="264"/>
        <v>0</v>
      </c>
    </row>
    <row r="2053" spans="1:25" s="30" customFormat="1" ht="60">
      <c r="A2053" s="112"/>
      <c r="B2053" s="437" t="s">
        <v>1498</v>
      </c>
      <c r="C2053" s="693" t="s">
        <v>1499</v>
      </c>
      <c r="D2053" s="483">
        <v>40899</v>
      </c>
      <c r="E2053" s="252" t="s">
        <v>4973</v>
      </c>
      <c r="F2053" s="501" t="s">
        <v>5659</v>
      </c>
      <c r="G2053" s="692"/>
      <c r="H2053" s="722"/>
      <c r="I2053" s="722"/>
      <c r="J2053" s="485"/>
      <c r="K2053" s="485"/>
      <c r="L2053" s="694">
        <v>1000</v>
      </c>
      <c r="M2053" s="485">
        <f>SUM(J2053:L2053)</f>
        <v>1000</v>
      </c>
      <c r="N2053" s="715"/>
      <c r="O2053" s="817"/>
      <c r="P2053" s="1137" t="s">
        <v>102</v>
      </c>
      <c r="Q2053" s="513">
        <v>1000</v>
      </c>
      <c r="R2053" s="513">
        <v>1000</v>
      </c>
      <c r="S2053" s="902" t="s">
        <v>6341</v>
      </c>
      <c r="T2053" s="897"/>
      <c r="U2053" s="897"/>
      <c r="V2053" s="32" t="s">
        <v>517</v>
      </c>
      <c r="W2053" s="31" t="s">
        <v>1497</v>
      </c>
      <c r="X2053" s="16">
        <f t="shared" si="234"/>
        <v>1000</v>
      </c>
      <c r="Y2053" s="16">
        <f t="shared" si="264"/>
        <v>0</v>
      </c>
    </row>
    <row r="2054" spans="1:25" s="30" customFormat="1" ht="75">
      <c r="A2054" s="112"/>
      <c r="B2054" s="437" t="s">
        <v>1500</v>
      </c>
      <c r="C2054" s="489" t="s">
        <v>1501</v>
      </c>
      <c r="D2054" s="490">
        <v>41067</v>
      </c>
      <c r="E2054" s="252" t="s">
        <v>2878</v>
      </c>
      <c r="F2054" s="514" t="s">
        <v>5660</v>
      </c>
      <c r="G2054" s="488"/>
      <c r="H2054" s="722"/>
      <c r="I2054" s="722"/>
      <c r="J2054" s="491"/>
      <c r="K2054" s="492">
        <v>2300</v>
      </c>
      <c r="L2054" s="492"/>
      <c r="M2054" s="492">
        <f>SUM(K2054:L2054)</f>
        <v>2300</v>
      </c>
      <c r="N2054" s="715"/>
      <c r="O2054" s="817"/>
      <c r="P2054" s="1137" t="s">
        <v>102</v>
      </c>
      <c r="Q2054" s="515">
        <v>2300</v>
      </c>
      <c r="R2054" s="515">
        <v>1563</v>
      </c>
      <c r="S2054" s="1084" t="s">
        <v>6342</v>
      </c>
      <c r="T2054" s="897"/>
      <c r="U2054" s="897"/>
      <c r="V2054" s="32"/>
      <c r="W2054" s="31"/>
      <c r="X2054" s="16">
        <f t="shared" si="234"/>
        <v>2300</v>
      </c>
      <c r="Y2054" s="16">
        <f t="shared" si="264"/>
        <v>0</v>
      </c>
    </row>
    <row r="2055" spans="1:25" s="39" customFormat="1" ht="15.95" customHeight="1">
      <c r="B2055" s="437"/>
      <c r="C2055" s="489"/>
      <c r="D2055" s="490"/>
      <c r="E2055" s="252"/>
      <c r="F2055" s="514"/>
      <c r="G2055" s="488"/>
      <c r="H2055" s="722"/>
      <c r="I2055" s="722"/>
      <c r="J2055" s="491"/>
      <c r="K2055" s="492"/>
      <c r="L2055" s="492"/>
      <c r="M2055" s="492"/>
      <c r="N2055" s="715"/>
      <c r="O2055" s="23"/>
      <c r="P2055" s="32"/>
      <c r="Q2055" s="216"/>
      <c r="R2055" s="216"/>
      <c r="S2055" s="877"/>
      <c r="T2055" s="877"/>
      <c r="U2055" s="877"/>
      <c r="V2055" s="22"/>
      <c r="X2055" s="16">
        <f t="shared" si="234"/>
        <v>0</v>
      </c>
      <c r="Y2055" s="16">
        <f t="shared" si="264"/>
        <v>0</v>
      </c>
    </row>
    <row r="2056" spans="1:25" s="30" customFormat="1" ht="15">
      <c r="A2056" s="112"/>
      <c r="B2056" s="864" t="s">
        <v>1502</v>
      </c>
      <c r="C2056" s="23"/>
      <c r="D2056" s="380"/>
      <c r="E2056" s="786"/>
      <c r="F2056" s="22"/>
      <c r="G2056" s="22"/>
      <c r="H2056" s="22"/>
      <c r="I2056" s="22"/>
      <c r="J2056" s="36">
        <f>J2057</f>
        <v>0</v>
      </c>
      <c r="K2056" s="36">
        <f t="shared" ref="K2056:M2057" si="299">K2057</f>
        <v>250</v>
      </c>
      <c r="L2056" s="36">
        <f t="shared" si="299"/>
        <v>0</v>
      </c>
      <c r="M2056" s="36">
        <f t="shared" si="299"/>
        <v>250</v>
      </c>
      <c r="N2056" s="22"/>
      <c r="O2056" s="818"/>
      <c r="P2056" s="165"/>
      <c r="Q2056" s="36">
        <f t="shared" ref="Q2056:R2057" si="300">Q2057</f>
        <v>250</v>
      </c>
      <c r="R2056" s="36">
        <f t="shared" si="300"/>
        <v>250</v>
      </c>
      <c r="S2056" s="898"/>
      <c r="T2056" s="898"/>
      <c r="U2056" s="898"/>
      <c r="V2056" s="32"/>
      <c r="W2056" s="43"/>
      <c r="X2056" s="16">
        <f t="shared" si="234"/>
        <v>250</v>
      </c>
      <c r="Y2056" s="16">
        <f t="shared" si="264"/>
        <v>0</v>
      </c>
    </row>
    <row r="2057" spans="1:25" s="30" customFormat="1" ht="15">
      <c r="A2057" s="112"/>
      <c r="B2057" s="1031" t="s">
        <v>1503</v>
      </c>
      <c r="C2057" s="43"/>
      <c r="D2057" s="718"/>
      <c r="E2057" s="329"/>
      <c r="H2057" s="722"/>
      <c r="I2057" s="722"/>
      <c r="J2057" s="479">
        <f t="shared" ref="J2057" si="301">J2058</f>
        <v>0</v>
      </c>
      <c r="K2057" s="479">
        <f>K2058</f>
        <v>250</v>
      </c>
      <c r="L2057" s="479">
        <f t="shared" si="299"/>
        <v>0</v>
      </c>
      <c r="M2057" s="479">
        <f t="shared" si="299"/>
        <v>250</v>
      </c>
      <c r="N2057" s="716"/>
      <c r="O2057" s="820"/>
      <c r="P2057" s="43"/>
      <c r="Q2057" s="479">
        <f t="shared" si="300"/>
        <v>250</v>
      </c>
      <c r="R2057" s="479">
        <f t="shared" si="300"/>
        <v>250</v>
      </c>
      <c r="S2057" s="894"/>
      <c r="T2057" s="894"/>
      <c r="U2057" s="894"/>
      <c r="V2057" s="32" t="s">
        <v>517</v>
      </c>
      <c r="W2057" s="31" t="s">
        <v>1504</v>
      </c>
      <c r="X2057" s="16">
        <f t="shared" si="234"/>
        <v>250</v>
      </c>
      <c r="Y2057" s="16">
        <f t="shared" si="264"/>
        <v>0</v>
      </c>
    </row>
    <row r="2058" spans="1:25" s="39" customFormat="1" ht="15.95" customHeight="1">
      <c r="B2058" s="865" t="s">
        <v>181</v>
      </c>
      <c r="C2058" s="482" t="s">
        <v>1505</v>
      </c>
      <c r="D2058" s="483">
        <v>40857</v>
      </c>
      <c r="E2058" s="786" t="s">
        <v>4992</v>
      </c>
      <c r="F2058" s="497" t="s">
        <v>5649</v>
      </c>
      <c r="G2058" s="481"/>
      <c r="H2058" s="519">
        <v>11336</v>
      </c>
      <c r="I2058" s="519"/>
      <c r="J2058" s="485"/>
      <c r="K2058" s="485">
        <v>250</v>
      </c>
      <c r="L2058" s="485"/>
      <c r="M2058" s="485">
        <f>SUM(J2058:L2058)</f>
        <v>250</v>
      </c>
      <c r="N2058" s="721">
        <f>M2058+H2058</f>
        <v>11586</v>
      </c>
      <c r="O2058" s="23"/>
      <c r="P2058" s="1137" t="s">
        <v>102</v>
      </c>
      <c r="Q2058" s="216">
        <v>250</v>
      </c>
      <c r="R2058" s="216">
        <v>250</v>
      </c>
      <c r="S2058" s="877" t="s">
        <v>1408</v>
      </c>
      <c r="T2058" s="877"/>
      <c r="U2058" s="877"/>
      <c r="V2058" s="22"/>
      <c r="X2058" s="16">
        <f t="shared" si="234"/>
        <v>250</v>
      </c>
      <c r="Y2058" s="16">
        <f t="shared" si="264"/>
        <v>0</v>
      </c>
    </row>
    <row r="2059" spans="1:25" s="39" customFormat="1" ht="15.95" customHeight="1">
      <c r="B2059" s="865"/>
      <c r="C2059" s="482"/>
      <c r="D2059" s="483"/>
      <c r="E2059" s="786"/>
      <c r="F2059" s="497"/>
      <c r="G2059" s="481"/>
      <c r="H2059" s="519"/>
      <c r="I2059" s="519"/>
      <c r="J2059" s="485"/>
      <c r="K2059" s="485"/>
      <c r="L2059" s="485"/>
      <c r="M2059" s="485"/>
      <c r="N2059" s="721"/>
      <c r="O2059" s="23"/>
      <c r="P2059" s="165"/>
      <c r="Q2059" s="216"/>
      <c r="R2059" s="216"/>
      <c r="S2059" s="877"/>
      <c r="T2059" s="877"/>
      <c r="U2059" s="877"/>
      <c r="V2059" s="22"/>
      <c r="X2059" s="16">
        <f t="shared" ref="X2059:X2078" si="302">SUM(J2059:L2059)</f>
        <v>0</v>
      </c>
      <c r="Y2059" s="16">
        <f t="shared" si="264"/>
        <v>0</v>
      </c>
    </row>
    <row r="2060" spans="1:25" s="30" customFormat="1" ht="15">
      <c r="A2060" s="112"/>
      <c r="B2060" s="864" t="s">
        <v>1506</v>
      </c>
      <c r="C2060" s="23"/>
      <c r="D2060" s="380"/>
      <c r="E2060" s="786"/>
      <c r="F2060" s="22"/>
      <c r="G2060" s="22"/>
      <c r="H2060" s="22"/>
      <c r="I2060" s="22"/>
      <c r="J2060" s="36">
        <f>J2061+J2064+J2071+J2068</f>
        <v>0</v>
      </c>
      <c r="K2060" s="36">
        <f>K2061+K2064+K2071+K2068</f>
        <v>10700</v>
      </c>
      <c r="L2060" s="36">
        <f>L2061+L2064+L2071+L2068</f>
        <v>0</v>
      </c>
      <c r="M2060" s="36">
        <f>M2061+M2064+M2071+M2068</f>
        <v>10700</v>
      </c>
      <c r="N2060" s="22"/>
      <c r="O2060" s="818"/>
      <c r="P2060" s="165"/>
      <c r="Q2060" s="36">
        <f t="shared" ref="Q2060:R2060" si="303">Q2061+Q2064+Q2071+Q2068</f>
        <v>0</v>
      </c>
      <c r="R2060" s="36">
        <f t="shared" si="303"/>
        <v>0</v>
      </c>
      <c r="S2060" s="898"/>
      <c r="T2060" s="898"/>
      <c r="U2060" s="898"/>
      <c r="V2060" s="32"/>
      <c r="W2060" s="43"/>
      <c r="X2060" s="16">
        <f t="shared" si="302"/>
        <v>10700</v>
      </c>
      <c r="Y2060" s="16">
        <f t="shared" ref="Y2060:Y2081" si="304">X2060-M2060</f>
        <v>0</v>
      </c>
    </row>
    <row r="2061" spans="1:25" s="30" customFormat="1" ht="15">
      <c r="A2061" s="112"/>
      <c r="B2061" s="1031" t="s">
        <v>1507</v>
      </c>
      <c r="C2061" s="43"/>
      <c r="D2061" s="718"/>
      <c r="E2061" s="329"/>
      <c r="H2061" s="717"/>
      <c r="I2061" s="717"/>
      <c r="J2061" s="479">
        <f t="shared" ref="J2061" si="305">SUM(J2062:J2086)</f>
        <v>0</v>
      </c>
      <c r="K2061" s="479">
        <f>K2062+K2067</f>
        <v>500</v>
      </c>
      <c r="L2061" s="479">
        <f>L2062+L2067</f>
        <v>0</v>
      </c>
      <c r="M2061" s="479">
        <f>M2062+M2067</f>
        <v>500</v>
      </c>
      <c r="N2061" s="716"/>
      <c r="O2061" s="820"/>
      <c r="P2061" s="43"/>
      <c r="Q2061" s="479">
        <f t="shared" ref="Q2061:R2061" si="306">Q2062+Q2067</f>
        <v>0</v>
      </c>
      <c r="R2061" s="479">
        <f t="shared" si="306"/>
        <v>0</v>
      </c>
      <c r="S2061" s="894"/>
      <c r="T2061" s="894"/>
      <c r="U2061" s="894"/>
      <c r="V2061" s="770" t="s">
        <v>517</v>
      </c>
      <c r="W2061" s="12" t="s">
        <v>1508</v>
      </c>
      <c r="X2061" s="16">
        <f t="shared" si="302"/>
        <v>500</v>
      </c>
      <c r="Y2061" s="16">
        <f t="shared" si="304"/>
        <v>0</v>
      </c>
    </row>
    <row r="2062" spans="1:25" s="39" customFormat="1" ht="15.95" customHeight="1">
      <c r="B2062" s="1102" t="s">
        <v>1509</v>
      </c>
      <c r="C2062" s="489" t="s">
        <v>1510</v>
      </c>
      <c r="D2062" s="490">
        <v>40995</v>
      </c>
      <c r="E2062" s="252" t="s">
        <v>5645</v>
      </c>
      <c r="F2062" s="488" t="s">
        <v>5661</v>
      </c>
      <c r="G2062" s="488"/>
      <c r="H2062" s="519">
        <v>55354</v>
      </c>
      <c r="I2062" s="519"/>
      <c r="J2062" s="491"/>
      <c r="K2062" s="492">
        <v>500</v>
      </c>
      <c r="L2062" s="492"/>
      <c r="M2062" s="492">
        <f>SUM(K2062:L2062)</f>
        <v>500</v>
      </c>
      <c r="N2062" s="721">
        <f>M2062+H2062</f>
        <v>55854</v>
      </c>
      <c r="O2062" s="23"/>
      <c r="P2062" s="1137" t="s">
        <v>102</v>
      </c>
      <c r="Q2062" s="216"/>
      <c r="R2062" s="216"/>
      <c r="S2062" s="877"/>
      <c r="T2062" s="877"/>
      <c r="U2062" s="877"/>
      <c r="V2062" s="22"/>
      <c r="X2062" s="16">
        <f t="shared" si="302"/>
        <v>500</v>
      </c>
      <c r="Y2062" s="16">
        <f t="shared" si="304"/>
        <v>0</v>
      </c>
    </row>
    <row r="2063" spans="1:25" s="30" customFormat="1" ht="15">
      <c r="A2063" s="112"/>
      <c r="B2063" s="21"/>
      <c r="C2063" s="23"/>
      <c r="D2063" s="380"/>
      <c r="E2063" s="23"/>
      <c r="F2063" s="22"/>
      <c r="G2063" s="22"/>
      <c r="H2063" s="22"/>
      <c r="I2063" s="22"/>
      <c r="J2063" s="22"/>
      <c r="K2063" s="22"/>
      <c r="L2063" s="22"/>
      <c r="M2063" s="22"/>
      <c r="N2063" s="22"/>
      <c r="O2063" s="820"/>
      <c r="P2063" s="165"/>
      <c r="Q2063" s="508"/>
      <c r="R2063" s="508"/>
      <c r="S2063" s="894"/>
      <c r="T2063" s="894"/>
      <c r="U2063" s="894"/>
      <c r="V2063" s="32"/>
      <c r="W2063" s="43"/>
      <c r="X2063" s="16">
        <f t="shared" si="302"/>
        <v>0</v>
      </c>
      <c r="Y2063" s="16">
        <f t="shared" si="304"/>
        <v>0</v>
      </c>
    </row>
    <row r="2064" spans="1:25" s="30" customFormat="1" ht="15">
      <c r="A2064" s="112"/>
      <c r="B2064" s="1031" t="s">
        <v>1511</v>
      </c>
      <c r="C2064" s="43"/>
      <c r="D2064" s="718"/>
      <c r="E2064" s="329"/>
      <c r="H2064" s="717">
        <v>111299</v>
      </c>
      <c r="I2064" s="717"/>
      <c r="J2064" s="479">
        <f t="shared" ref="J2064" si="307">SUM(J2065:J2066)</f>
        <v>0</v>
      </c>
      <c r="K2064" s="479">
        <f>SUM(K2065:K2066)</f>
        <v>1500</v>
      </c>
      <c r="L2064" s="479">
        <f t="shared" ref="L2064:M2064" si="308">SUM(L2065:L2066)</f>
        <v>0</v>
      </c>
      <c r="M2064" s="479">
        <f t="shared" si="308"/>
        <v>1500</v>
      </c>
      <c r="N2064" s="721">
        <f>M2064+H2064</f>
        <v>112799</v>
      </c>
      <c r="O2064" s="817"/>
      <c r="P2064" s="43"/>
      <c r="Q2064" s="479">
        <f t="shared" ref="Q2064:R2064" si="309">SUM(Q2065:Q2066)</f>
        <v>0</v>
      </c>
      <c r="R2064" s="479">
        <f t="shared" si="309"/>
        <v>0</v>
      </c>
      <c r="S2064" s="897"/>
      <c r="T2064" s="897"/>
      <c r="U2064" s="897"/>
      <c r="V2064" s="32" t="s">
        <v>517</v>
      </c>
      <c r="W2064" s="31" t="s">
        <v>1512</v>
      </c>
      <c r="X2064" s="16">
        <f t="shared" si="302"/>
        <v>1500</v>
      </c>
      <c r="Y2064" s="16">
        <f t="shared" si="304"/>
        <v>0</v>
      </c>
    </row>
    <row r="2065" spans="1:25" s="30" customFormat="1" ht="30">
      <c r="A2065" s="112"/>
      <c r="B2065" s="261" t="s">
        <v>1513</v>
      </c>
      <c r="C2065" s="482" t="s">
        <v>1514</v>
      </c>
      <c r="D2065" s="483">
        <v>40884</v>
      </c>
      <c r="E2065" s="489" t="s">
        <v>3044</v>
      </c>
      <c r="F2065" s="497" t="s">
        <v>5662</v>
      </c>
      <c r="G2065" s="498"/>
      <c r="H2065" s="722"/>
      <c r="I2065" s="722"/>
      <c r="J2065" s="485"/>
      <c r="K2065" s="485">
        <v>1000</v>
      </c>
      <c r="L2065" s="485"/>
      <c r="M2065" s="485">
        <f>SUM(J2065:L2065)</f>
        <v>1000</v>
      </c>
      <c r="N2065" s="715"/>
      <c r="O2065" s="817"/>
      <c r="P2065" s="1137" t="s">
        <v>102</v>
      </c>
      <c r="Q2065" s="524"/>
      <c r="R2065" s="524"/>
      <c r="S2065" s="897"/>
      <c r="T2065" s="897"/>
      <c r="U2065" s="897"/>
      <c r="V2065" s="32" t="s">
        <v>517</v>
      </c>
      <c r="W2065" s="31" t="s">
        <v>1512</v>
      </c>
      <c r="X2065" s="16">
        <f t="shared" si="302"/>
        <v>1000</v>
      </c>
      <c r="Y2065" s="16">
        <f t="shared" si="304"/>
        <v>0</v>
      </c>
    </row>
    <row r="2066" spans="1:25" s="39" customFormat="1" ht="15.95" customHeight="1">
      <c r="B2066" s="1102" t="s">
        <v>1509</v>
      </c>
      <c r="C2066" s="489" t="s">
        <v>1515</v>
      </c>
      <c r="D2066" s="490">
        <v>40995</v>
      </c>
      <c r="E2066" s="252" t="s">
        <v>5645</v>
      </c>
      <c r="F2066" s="488" t="s">
        <v>5661</v>
      </c>
      <c r="G2066" s="488"/>
      <c r="H2066" s="722"/>
      <c r="I2066" s="722"/>
      <c r="J2066" s="491"/>
      <c r="K2066" s="492">
        <v>500</v>
      </c>
      <c r="L2066" s="492"/>
      <c r="M2066" s="492">
        <f>SUM(K2066:L2066)</f>
        <v>500</v>
      </c>
      <c r="N2066" s="715"/>
      <c r="O2066" s="23"/>
      <c r="P2066" s="1137" t="s">
        <v>102</v>
      </c>
      <c r="Q2066" s="216"/>
      <c r="R2066" s="216"/>
      <c r="S2066" s="877"/>
      <c r="T2066" s="877"/>
      <c r="U2066" s="877"/>
      <c r="V2066" s="22"/>
      <c r="X2066" s="16">
        <f t="shared" si="302"/>
        <v>500</v>
      </c>
      <c r="Y2066" s="16">
        <f t="shared" si="304"/>
        <v>0</v>
      </c>
    </row>
    <row r="2067" spans="1:25" s="30" customFormat="1" ht="15">
      <c r="A2067" s="112"/>
      <c r="B2067" s="21"/>
      <c r="C2067" s="23"/>
      <c r="D2067" s="380"/>
      <c r="E2067" s="23"/>
      <c r="F2067" s="22"/>
      <c r="G2067" s="22"/>
      <c r="H2067" s="22"/>
      <c r="I2067" s="22"/>
      <c r="J2067" s="22"/>
      <c r="K2067" s="22"/>
      <c r="L2067" s="22"/>
      <c r="M2067" s="22"/>
      <c r="N2067" s="22"/>
      <c r="O2067" s="818"/>
      <c r="P2067" s="165"/>
      <c r="Q2067" s="524"/>
      <c r="R2067" s="524"/>
      <c r="S2067" s="898"/>
      <c r="T2067" s="898"/>
      <c r="U2067" s="898"/>
      <c r="V2067" s="32"/>
      <c r="W2067" s="43"/>
      <c r="X2067" s="16">
        <f t="shared" si="302"/>
        <v>0</v>
      </c>
      <c r="Y2067" s="16">
        <f t="shared" si="304"/>
        <v>0</v>
      </c>
    </row>
    <row r="2068" spans="1:25" s="30" customFormat="1" ht="15">
      <c r="A2068" s="112"/>
      <c r="B2068" s="1031" t="s">
        <v>1516</v>
      </c>
      <c r="C2068" s="23"/>
      <c r="D2068" s="380"/>
      <c r="E2068" s="329"/>
      <c r="F2068" s="22"/>
      <c r="G2068" s="22"/>
      <c r="H2068" s="22"/>
      <c r="I2068" s="22"/>
      <c r="J2068" s="36">
        <f>J2069</f>
        <v>0</v>
      </c>
      <c r="K2068" s="36">
        <f t="shared" ref="K2068:M2068" si="310">K2069</f>
        <v>200</v>
      </c>
      <c r="L2068" s="36">
        <f t="shared" si="310"/>
        <v>0</v>
      </c>
      <c r="M2068" s="36">
        <f t="shared" si="310"/>
        <v>200</v>
      </c>
      <c r="N2068" s="22"/>
      <c r="O2068" s="818"/>
      <c r="P2068" s="43"/>
      <c r="Q2068" s="36">
        <f t="shared" ref="Q2068:R2068" si="311">Q2069</f>
        <v>0</v>
      </c>
      <c r="R2068" s="36">
        <f t="shared" si="311"/>
        <v>0</v>
      </c>
      <c r="S2068" s="898"/>
      <c r="T2068" s="898"/>
      <c r="U2068" s="898"/>
      <c r="V2068" s="32"/>
      <c r="W2068" s="43"/>
      <c r="X2068" s="16">
        <f t="shared" si="302"/>
        <v>200</v>
      </c>
      <c r="Y2068" s="16">
        <f t="shared" si="304"/>
        <v>0</v>
      </c>
    </row>
    <row r="2069" spans="1:25" s="31" customFormat="1" ht="30">
      <c r="B2069" s="1102" t="s">
        <v>1517</v>
      </c>
      <c r="C2069" s="489" t="s">
        <v>1518</v>
      </c>
      <c r="D2069" s="490">
        <v>40995</v>
      </c>
      <c r="E2069" s="252" t="s">
        <v>5642</v>
      </c>
      <c r="F2069" s="488" t="s">
        <v>5661</v>
      </c>
      <c r="G2069" s="488"/>
      <c r="H2069" s="492">
        <v>200</v>
      </c>
      <c r="I2069" s="492"/>
      <c r="J2069" s="492"/>
      <c r="K2069" s="723">
        <v>200</v>
      </c>
      <c r="L2069" s="723"/>
      <c r="M2069" s="492">
        <f>SUM(K2069:L2069)</f>
        <v>200</v>
      </c>
      <c r="N2069" s="723"/>
      <c r="O2069" s="823"/>
      <c r="P2069" s="43"/>
      <c r="Q2069" s="356"/>
      <c r="R2069" s="356"/>
      <c r="S2069" s="903"/>
      <c r="T2069" s="903"/>
      <c r="U2069" s="407"/>
      <c r="X2069" s="16">
        <f t="shared" si="302"/>
        <v>200</v>
      </c>
      <c r="Y2069" s="16">
        <f t="shared" si="304"/>
        <v>0</v>
      </c>
    </row>
    <row r="2070" spans="1:25" s="31" customFormat="1" ht="15">
      <c r="B2070" s="488"/>
      <c r="C2070" s="489"/>
      <c r="D2070" s="490"/>
      <c r="E2070" s="252"/>
      <c r="F2070" s="488"/>
      <c r="G2070" s="488"/>
      <c r="H2070" s="492"/>
      <c r="I2070" s="492"/>
      <c r="J2070" s="492"/>
      <c r="K2070" s="723"/>
      <c r="L2070" s="723"/>
      <c r="M2070" s="723"/>
      <c r="N2070" s="723"/>
      <c r="O2070" s="823"/>
      <c r="P2070" s="32"/>
      <c r="Q2070" s="356"/>
      <c r="R2070" s="356"/>
      <c r="S2070" s="903"/>
      <c r="T2070" s="903"/>
      <c r="U2070" s="407"/>
      <c r="X2070" s="16">
        <f t="shared" si="302"/>
        <v>0</v>
      </c>
      <c r="Y2070" s="16">
        <f t="shared" si="304"/>
        <v>0</v>
      </c>
    </row>
    <row r="2071" spans="1:25" s="30" customFormat="1" ht="15">
      <c r="A2071" s="112"/>
      <c r="B2071" s="1031" t="s">
        <v>1519</v>
      </c>
      <c r="C2071" s="43"/>
      <c r="D2071" s="718"/>
      <c r="E2071" s="329"/>
      <c r="H2071" s="717"/>
      <c r="I2071" s="717"/>
      <c r="J2071" s="479">
        <f>SUM(J2072:J2075)</f>
        <v>0</v>
      </c>
      <c r="K2071" s="479">
        <f t="shared" ref="K2071:M2071" si="312">SUM(K2072:K2075)</f>
        <v>8500</v>
      </c>
      <c r="L2071" s="479">
        <f t="shared" si="312"/>
        <v>0</v>
      </c>
      <c r="M2071" s="479">
        <f t="shared" si="312"/>
        <v>8500</v>
      </c>
      <c r="N2071" s="716"/>
      <c r="O2071" s="818"/>
      <c r="P2071" s="32"/>
      <c r="Q2071" s="479">
        <f t="shared" ref="Q2071:R2071" si="313">SUM(Q2072:Q2075)</f>
        <v>0</v>
      </c>
      <c r="R2071" s="479">
        <f t="shared" si="313"/>
        <v>0</v>
      </c>
      <c r="S2071" s="898"/>
      <c r="T2071" s="898"/>
      <c r="U2071" s="898"/>
      <c r="V2071" s="32" t="s">
        <v>517</v>
      </c>
      <c r="W2071" s="31" t="s">
        <v>1520</v>
      </c>
      <c r="X2071" s="16">
        <f t="shared" si="302"/>
        <v>8500</v>
      </c>
      <c r="Y2071" s="16">
        <f t="shared" si="304"/>
        <v>0</v>
      </c>
    </row>
    <row r="2072" spans="1:25" s="30" customFormat="1" ht="15">
      <c r="A2072" s="112"/>
      <c r="B2072" s="261" t="s">
        <v>1513</v>
      </c>
      <c r="C2072" s="482" t="s">
        <v>1521</v>
      </c>
      <c r="D2072" s="483">
        <v>40884</v>
      </c>
      <c r="E2072" s="489" t="s">
        <v>2869</v>
      </c>
      <c r="F2072" s="497" t="s">
        <v>5663</v>
      </c>
      <c r="G2072" s="481"/>
      <c r="H2072" s="717">
        <v>2154</v>
      </c>
      <c r="I2072" s="717"/>
      <c r="J2072" s="485"/>
      <c r="K2072" s="485">
        <v>1500</v>
      </c>
      <c r="L2072" s="485"/>
      <c r="M2072" s="485">
        <f>SUM(J2072:L2072)</f>
        <v>1500</v>
      </c>
      <c r="N2072" s="716">
        <f>M2072+H2072</f>
        <v>3654</v>
      </c>
      <c r="O2072" s="818"/>
      <c r="P2072" s="1137" t="s">
        <v>102</v>
      </c>
      <c r="Q2072" s="524"/>
      <c r="R2072" s="524"/>
      <c r="S2072" s="898"/>
      <c r="T2072" s="898"/>
      <c r="U2072" s="898"/>
      <c r="V2072" s="32"/>
      <c r="W2072" s="31"/>
      <c r="X2072" s="16">
        <f t="shared" si="302"/>
        <v>1500</v>
      </c>
      <c r="Y2072" s="16">
        <f t="shared" si="304"/>
        <v>0</v>
      </c>
    </row>
    <row r="2073" spans="1:25" s="30" customFormat="1" ht="15">
      <c r="A2073" s="112"/>
      <c r="B2073" s="261"/>
      <c r="C2073" s="482"/>
      <c r="D2073" s="483"/>
      <c r="E2073" s="489"/>
      <c r="F2073" s="497"/>
      <c r="G2073" s="481"/>
      <c r="H2073" s="717"/>
      <c r="I2073" s="717"/>
      <c r="J2073" s="485"/>
      <c r="K2073" s="485"/>
      <c r="L2073" s="485"/>
      <c r="M2073" s="485"/>
      <c r="N2073" s="716"/>
      <c r="O2073" s="817"/>
      <c r="P2073" s="1137"/>
      <c r="Q2073" s="524"/>
      <c r="R2073" s="524"/>
      <c r="S2073" s="897"/>
      <c r="T2073" s="897"/>
      <c r="U2073" s="897"/>
      <c r="V2073" s="32" t="s">
        <v>517</v>
      </c>
      <c r="W2073" s="31" t="s">
        <v>1520</v>
      </c>
      <c r="X2073" s="16">
        <f t="shared" si="302"/>
        <v>0</v>
      </c>
      <c r="Y2073" s="16">
        <f t="shared" si="304"/>
        <v>0</v>
      </c>
    </row>
    <row r="2074" spans="1:25" s="30" customFormat="1" ht="30">
      <c r="A2074" s="112"/>
      <c r="B2074" s="261" t="s">
        <v>1513</v>
      </c>
      <c r="C2074" s="695" t="s">
        <v>1522</v>
      </c>
      <c r="D2074" s="483">
        <v>40899</v>
      </c>
      <c r="E2074" s="489" t="s">
        <v>3044</v>
      </c>
      <c r="F2074" s="497" t="s">
        <v>5661</v>
      </c>
      <c r="G2074" s="481"/>
      <c r="H2074" s="486"/>
      <c r="I2074" s="486"/>
      <c r="J2074" s="485"/>
      <c r="K2074" s="485">
        <v>5000</v>
      </c>
      <c r="L2074" s="485"/>
      <c r="M2074" s="485">
        <f>SUM(J2074:L2074)</f>
        <v>5000</v>
      </c>
      <c r="N2074" s="715"/>
      <c r="O2074" s="817"/>
      <c r="P2074" s="1137" t="s">
        <v>102</v>
      </c>
      <c r="Q2074" s="524"/>
      <c r="R2074" s="524"/>
      <c r="S2074" s="897"/>
      <c r="T2074" s="897"/>
      <c r="U2074" s="897"/>
      <c r="V2074" s="32" t="s">
        <v>517</v>
      </c>
      <c r="W2074" s="31" t="s">
        <v>1520</v>
      </c>
      <c r="X2074" s="16">
        <f t="shared" si="302"/>
        <v>5000</v>
      </c>
      <c r="Y2074" s="16">
        <f t="shared" si="304"/>
        <v>0</v>
      </c>
    </row>
    <row r="2075" spans="1:25" s="30" customFormat="1" ht="30">
      <c r="A2075" s="112"/>
      <c r="B2075" s="1102" t="s">
        <v>1523</v>
      </c>
      <c r="C2075" s="489" t="s">
        <v>1524</v>
      </c>
      <c r="D2075" s="490">
        <v>40995</v>
      </c>
      <c r="E2075" s="252" t="s">
        <v>5645</v>
      </c>
      <c r="F2075" s="488" t="s">
        <v>5661</v>
      </c>
      <c r="G2075" s="488"/>
      <c r="H2075" s="486"/>
      <c r="I2075" s="486"/>
      <c r="J2075" s="491"/>
      <c r="K2075" s="492">
        <v>2000</v>
      </c>
      <c r="L2075" s="492"/>
      <c r="M2075" s="492">
        <f>SUM(K2075:L2075)</f>
        <v>2000</v>
      </c>
      <c r="N2075" s="715"/>
      <c r="O2075" s="817"/>
      <c r="P2075" s="1137" t="s">
        <v>102</v>
      </c>
      <c r="Q2075" s="524"/>
      <c r="R2075" s="524"/>
      <c r="S2075" s="897"/>
      <c r="T2075" s="897"/>
      <c r="U2075" s="897"/>
      <c r="V2075" s="32"/>
      <c r="W2075" s="31"/>
      <c r="X2075" s="16">
        <f t="shared" si="302"/>
        <v>2000</v>
      </c>
      <c r="Y2075" s="16">
        <f t="shared" si="304"/>
        <v>0</v>
      </c>
    </row>
    <row r="2076" spans="1:25" s="39" customFormat="1" ht="15" customHeight="1">
      <c r="B2076" s="1102"/>
      <c r="C2076" s="489"/>
      <c r="D2076" s="490"/>
      <c r="E2076" s="252"/>
      <c r="F2076" s="488"/>
      <c r="G2076" s="488"/>
      <c r="H2076" s="486"/>
      <c r="I2076" s="486"/>
      <c r="J2076" s="491"/>
      <c r="K2076" s="492"/>
      <c r="L2076" s="492"/>
      <c r="M2076" s="492"/>
      <c r="N2076" s="715"/>
      <c r="O2076" s="23"/>
      <c r="P2076" s="32"/>
      <c r="Q2076" s="216"/>
      <c r="R2076" s="216"/>
      <c r="S2076" s="877"/>
      <c r="T2076" s="877"/>
      <c r="U2076" s="877"/>
      <c r="V2076" s="22"/>
      <c r="X2076" s="16">
        <f t="shared" si="302"/>
        <v>0</v>
      </c>
      <c r="Y2076" s="16">
        <f t="shared" si="304"/>
        <v>0</v>
      </c>
    </row>
    <row r="2077" spans="1:25" s="30" customFormat="1" ht="15">
      <c r="A2077" s="112"/>
      <c r="B2077" s="864" t="s">
        <v>1525</v>
      </c>
      <c r="C2077" s="23"/>
      <c r="D2077" s="380"/>
      <c r="E2077" s="786"/>
      <c r="F2077" s="22"/>
      <c r="G2077" s="22"/>
      <c r="H2077" s="22"/>
      <c r="I2077" s="22"/>
      <c r="J2077" s="479">
        <f>SUM(J2079:J2081)</f>
        <v>0</v>
      </c>
      <c r="K2077" s="479">
        <f>SUM(K2079:K2081)</f>
        <v>11500</v>
      </c>
      <c r="L2077" s="479">
        <f>SUM(L2079:L2081)</f>
        <v>0</v>
      </c>
      <c r="M2077" s="479">
        <f>SUM(M2079:M2081)</f>
        <v>11500</v>
      </c>
      <c r="N2077" s="22"/>
      <c r="O2077" s="818"/>
      <c r="P2077" s="165"/>
      <c r="Q2077" s="352">
        <f>SUM(Q2079:Q2081)</f>
        <v>11500</v>
      </c>
      <c r="R2077" s="352">
        <f>SUM(R2079:R2081)</f>
        <v>11500</v>
      </c>
      <c r="S2077" s="898"/>
      <c r="T2077" s="898"/>
      <c r="U2077" s="898"/>
      <c r="V2077" s="32"/>
      <c r="W2077" s="43"/>
      <c r="X2077" s="16">
        <f t="shared" si="302"/>
        <v>11500</v>
      </c>
      <c r="Y2077" s="16">
        <f t="shared" si="304"/>
        <v>0</v>
      </c>
    </row>
    <row r="2078" spans="1:25" s="30" customFormat="1" ht="15">
      <c r="A2078" s="112"/>
      <c r="B2078" s="1031" t="s">
        <v>1526</v>
      </c>
      <c r="C2078" s="43"/>
      <c r="D2078" s="718"/>
      <c r="E2078" s="329"/>
      <c r="H2078" s="717"/>
      <c r="I2078" s="717"/>
      <c r="N2078" s="716"/>
      <c r="O2078" s="817"/>
      <c r="P2078" s="43"/>
      <c r="Q2078" s="351"/>
      <c r="R2078" s="351"/>
      <c r="S2078" s="897"/>
      <c r="T2078" s="897"/>
      <c r="U2078" s="897"/>
      <c r="V2078" s="32" t="s">
        <v>517</v>
      </c>
      <c r="X2078" s="16">
        <f t="shared" si="302"/>
        <v>0</v>
      </c>
      <c r="Y2078" s="16">
        <f t="shared" si="304"/>
        <v>0</v>
      </c>
    </row>
    <row r="2079" spans="1:25" s="30" customFormat="1" ht="15">
      <c r="A2079" s="112"/>
      <c r="B2079" s="861" t="s">
        <v>181</v>
      </c>
      <c r="C2079" s="482" t="s">
        <v>1528</v>
      </c>
      <c r="D2079" s="483">
        <v>40884</v>
      </c>
      <c r="E2079" s="786" t="s">
        <v>2869</v>
      </c>
      <c r="F2079" s="799" t="s">
        <v>5649</v>
      </c>
      <c r="G2079" s="497"/>
      <c r="H2079" s="486"/>
      <c r="I2079" s="486"/>
      <c r="J2079" s="485"/>
      <c r="K2079" s="485">
        <v>10000</v>
      </c>
      <c r="L2079" s="485"/>
      <c r="M2079" s="485">
        <f>SUM(J2079:L2079)</f>
        <v>10000</v>
      </c>
      <c r="N2079" s="715"/>
      <c r="O2079" s="817"/>
      <c r="P2079" s="1137" t="s">
        <v>102</v>
      </c>
      <c r="Q2079" s="351">
        <v>10000</v>
      </c>
      <c r="R2079" s="351">
        <v>10000</v>
      </c>
      <c r="S2079" s="897"/>
      <c r="T2079" s="897"/>
      <c r="U2079" s="897"/>
      <c r="V2079" s="32" t="s">
        <v>517</v>
      </c>
      <c r="W2079" s="31" t="s">
        <v>1527</v>
      </c>
      <c r="X2079" s="16">
        <f>SUM(J2079:L2079)</f>
        <v>10000</v>
      </c>
      <c r="Y2079" s="16">
        <f t="shared" si="304"/>
        <v>0</v>
      </c>
    </row>
    <row r="2080" spans="1:25" s="30" customFormat="1" ht="15">
      <c r="A2080" s="112"/>
      <c r="B2080" s="861" t="s">
        <v>181</v>
      </c>
      <c r="C2080" s="482" t="s">
        <v>1529</v>
      </c>
      <c r="D2080" s="483">
        <v>40884</v>
      </c>
      <c r="E2080" s="786" t="s">
        <v>2869</v>
      </c>
      <c r="F2080" s="799" t="s">
        <v>5649</v>
      </c>
      <c r="G2080" s="497"/>
      <c r="H2080" s="486"/>
      <c r="I2080" s="486"/>
      <c r="J2080" s="485"/>
      <c r="K2080" s="485">
        <v>1000</v>
      </c>
      <c r="L2080" s="485"/>
      <c r="M2080" s="485">
        <f>SUM(J2080:L2080)</f>
        <v>1000</v>
      </c>
      <c r="N2080" s="715"/>
      <c r="O2080" s="817"/>
      <c r="P2080" s="1137" t="s">
        <v>102</v>
      </c>
      <c r="Q2080" s="351">
        <v>1000</v>
      </c>
      <c r="R2080" s="351">
        <v>1000</v>
      </c>
      <c r="S2080" s="897"/>
      <c r="T2080" s="897"/>
      <c r="U2080" s="897"/>
      <c r="V2080" s="32" t="s">
        <v>517</v>
      </c>
      <c r="W2080" s="31" t="s">
        <v>1527</v>
      </c>
      <c r="X2080" s="16">
        <f>SUM(J2080:L2080)</f>
        <v>1000</v>
      </c>
      <c r="Y2080" s="16">
        <f t="shared" si="304"/>
        <v>0</v>
      </c>
    </row>
    <row r="2081" spans="1:25" s="39" customFormat="1" ht="15.95" customHeight="1">
      <c r="B2081" s="861" t="s">
        <v>181</v>
      </c>
      <c r="C2081" s="482" t="s">
        <v>1530</v>
      </c>
      <c r="D2081" s="483">
        <v>40857</v>
      </c>
      <c r="E2081" s="786" t="s">
        <v>2869</v>
      </c>
      <c r="F2081" s="799" t="s">
        <v>5649</v>
      </c>
      <c r="G2081" s="481"/>
      <c r="H2081" s="486"/>
      <c r="I2081" s="486"/>
      <c r="J2081" s="485"/>
      <c r="K2081" s="485">
        <v>500</v>
      </c>
      <c r="L2081" s="485"/>
      <c r="M2081" s="485">
        <f>SUM(J2081:L2081)</f>
        <v>500</v>
      </c>
      <c r="N2081" s="715"/>
      <c r="O2081" s="23"/>
      <c r="P2081" s="1137" t="s">
        <v>102</v>
      </c>
      <c r="Q2081" s="216">
        <v>500</v>
      </c>
      <c r="R2081" s="216">
        <v>500</v>
      </c>
      <c r="S2081" s="877"/>
      <c r="T2081" s="877"/>
      <c r="U2081" s="877"/>
      <c r="V2081" s="22"/>
      <c r="W2081" s="31" t="s">
        <v>1527</v>
      </c>
      <c r="X2081" s="16">
        <f>SUM(J2081:L2081)</f>
        <v>500</v>
      </c>
      <c r="Y2081" s="16">
        <f t="shared" si="304"/>
        <v>0</v>
      </c>
    </row>
    <row r="2082" spans="1:25" s="39" customFormat="1" ht="15.95" customHeight="1">
      <c r="B2082" s="861"/>
      <c r="C2082" s="482"/>
      <c r="D2082" s="483"/>
      <c r="E2082" s="786"/>
      <c r="F2082" s="480"/>
      <c r="G2082" s="481"/>
      <c r="H2082" s="486"/>
      <c r="I2082" s="486"/>
      <c r="J2082" s="485"/>
      <c r="K2082" s="485"/>
      <c r="L2082" s="485"/>
      <c r="M2082" s="485"/>
      <c r="N2082" s="715"/>
      <c r="O2082" s="23"/>
      <c r="P2082" s="165"/>
      <c r="Q2082" s="216"/>
      <c r="R2082" s="216"/>
      <c r="S2082" s="877"/>
      <c r="T2082" s="877"/>
      <c r="U2082" s="877"/>
      <c r="V2082" s="22"/>
      <c r="X2082" s="16"/>
      <c r="Y2082" s="16"/>
    </row>
    <row r="2083" spans="1:25" s="39" customFormat="1" ht="15" customHeight="1">
      <c r="B2083" s="864" t="s">
        <v>1531</v>
      </c>
      <c r="C2083" s="489"/>
      <c r="D2083" s="490"/>
      <c r="E2083" s="786"/>
      <c r="F2083" s="488"/>
      <c r="G2083" s="488"/>
      <c r="H2083" s="486"/>
      <c r="I2083" s="486"/>
      <c r="J2083" s="479">
        <f>J2085</f>
        <v>0</v>
      </c>
      <c r="K2083" s="479">
        <f>K2085</f>
        <v>1000</v>
      </c>
      <c r="L2083" s="479">
        <f>L2085</f>
        <v>0</v>
      </c>
      <c r="M2083" s="479">
        <f>M2085</f>
        <v>1000</v>
      </c>
      <c r="N2083" s="715"/>
      <c r="O2083" s="23"/>
      <c r="P2083" s="165"/>
      <c r="Q2083" s="479">
        <f t="shared" ref="Q2083" si="314">Q2085</f>
        <v>0</v>
      </c>
      <c r="R2083" s="479"/>
      <c r="S2083" s="877"/>
      <c r="T2083" s="877"/>
      <c r="U2083" s="877"/>
      <c r="V2083" s="22"/>
      <c r="X2083" s="16"/>
      <c r="Y2083" s="16"/>
    </row>
    <row r="2084" spans="1:25" s="30" customFormat="1" ht="15">
      <c r="A2084" s="112"/>
      <c r="B2084" s="1031" t="s">
        <v>1532</v>
      </c>
      <c r="C2084" s="43"/>
      <c r="D2084" s="718"/>
      <c r="E2084" s="329"/>
      <c r="H2084" s="717"/>
      <c r="N2084" s="32"/>
      <c r="O2084" s="32"/>
      <c r="P2084" s="165"/>
      <c r="Q2084" s="369"/>
      <c r="R2084" s="369"/>
      <c r="S2084" s="883"/>
      <c r="T2084" s="883"/>
      <c r="U2084" s="883"/>
    </row>
    <row r="2085" spans="1:25" s="30" customFormat="1" ht="30">
      <c r="A2085" s="112"/>
      <c r="B2085" s="861" t="s">
        <v>181</v>
      </c>
      <c r="C2085" s="482" t="s">
        <v>1533</v>
      </c>
      <c r="D2085" s="483">
        <v>40884</v>
      </c>
      <c r="E2085" s="786" t="s">
        <v>5664</v>
      </c>
      <c r="F2085" s="516" t="s">
        <v>5649</v>
      </c>
      <c r="G2085" s="497"/>
      <c r="H2085" s="519">
        <v>52958</v>
      </c>
      <c r="I2085" s="485"/>
      <c r="J2085" s="485"/>
      <c r="K2085" s="485">
        <v>1000</v>
      </c>
      <c r="L2085" s="485"/>
      <c r="M2085" s="721">
        <f>SUM(J2085:L2085)</f>
        <v>1000</v>
      </c>
      <c r="N2085" s="32" t="s">
        <v>871</v>
      </c>
      <c r="O2085" s="32"/>
      <c r="P2085" s="43"/>
      <c r="Q2085" s="369"/>
      <c r="R2085" s="904" t="s">
        <v>1534</v>
      </c>
      <c r="S2085" s="883" t="s">
        <v>6236</v>
      </c>
      <c r="T2085" s="883"/>
      <c r="U2085" s="883" t="s">
        <v>6237</v>
      </c>
    </row>
    <row r="2086" spans="1:25" s="30" customFormat="1" ht="15">
      <c r="A2086" s="112"/>
      <c r="B2086" s="864" t="s">
        <v>1535</v>
      </c>
      <c r="C2086" s="23"/>
      <c r="D2086" s="380"/>
      <c r="E2086" s="786"/>
      <c r="F2086" s="22"/>
      <c r="G2086" s="22"/>
      <c r="H2086" s="22"/>
      <c r="I2086" s="22"/>
      <c r="J2086" s="36">
        <f>J2087+J2092</f>
        <v>0</v>
      </c>
      <c r="K2086" s="36">
        <f>K2087+K2092</f>
        <v>2500</v>
      </c>
      <c r="L2086" s="36">
        <f>L2087+L2092</f>
        <v>0</v>
      </c>
      <c r="M2086" s="36">
        <f>M2087+M2092</f>
        <v>2500</v>
      </c>
      <c r="N2086" s="22"/>
      <c r="O2086" s="818"/>
      <c r="P2086" s="43"/>
      <c r="Q2086" s="36">
        <f>Q2087+Q2092</f>
        <v>2500</v>
      </c>
      <c r="R2086" s="36">
        <f>R2087+R2092</f>
        <v>1994</v>
      </c>
      <c r="S2086" s="898"/>
      <c r="T2086" s="898"/>
      <c r="U2086" s="898"/>
      <c r="V2086" s="32"/>
      <c r="W2086" s="43"/>
      <c r="X2086" s="16">
        <f t="shared" ref="X2086:X2106" si="315">SUM(J2086:L2086)</f>
        <v>2500</v>
      </c>
      <c r="Y2086" s="16">
        <f t="shared" ref="Y2086:Y2104" si="316">X2086-M2086</f>
        <v>0</v>
      </c>
    </row>
    <row r="2087" spans="1:25" s="30" customFormat="1" ht="15">
      <c r="A2087" s="112"/>
      <c r="B2087" s="1031" t="s">
        <v>1536</v>
      </c>
      <c r="C2087" s="43"/>
      <c r="D2087" s="718"/>
      <c r="E2087" s="329"/>
      <c r="H2087" s="717"/>
      <c r="I2087" s="717"/>
      <c r="J2087" s="479">
        <f>SUM(J2088:J2090)</f>
        <v>0</v>
      </c>
      <c r="K2087" s="479">
        <f>SUM(K2088:K2090)</f>
        <v>2000</v>
      </c>
      <c r="L2087" s="479">
        <f>SUM(L2088:L2090)</f>
        <v>0</v>
      </c>
      <c r="M2087" s="479">
        <f>SUM(M2088:M2090)</f>
        <v>2000</v>
      </c>
      <c r="N2087" s="716"/>
      <c r="O2087" s="818"/>
      <c r="P2087" s="43"/>
      <c r="Q2087" s="479">
        <f t="shared" ref="Q2087:R2087" si="317">SUM(Q2088:Q2090)</f>
        <v>2000</v>
      </c>
      <c r="R2087" s="479">
        <f t="shared" si="317"/>
        <v>1494</v>
      </c>
      <c r="S2087" s="898"/>
      <c r="T2087" s="898"/>
      <c r="U2087" s="898"/>
      <c r="V2087" s="32"/>
      <c r="W2087" s="43"/>
      <c r="X2087" s="16">
        <f t="shared" si="315"/>
        <v>2000</v>
      </c>
      <c r="Y2087" s="16">
        <f t="shared" si="316"/>
        <v>0</v>
      </c>
    </row>
    <row r="2088" spans="1:25" s="30" customFormat="1" ht="45">
      <c r="A2088" s="112"/>
      <c r="B2088" s="861" t="s">
        <v>181</v>
      </c>
      <c r="C2088" s="482" t="s">
        <v>1539</v>
      </c>
      <c r="D2088" s="483">
        <v>40884</v>
      </c>
      <c r="E2088" s="786" t="s">
        <v>5658</v>
      </c>
      <c r="F2088" s="480" t="s">
        <v>5665</v>
      </c>
      <c r="G2088" s="497"/>
      <c r="H2088" s="486"/>
      <c r="I2088" s="486"/>
      <c r="J2088" s="485"/>
      <c r="K2088" s="485">
        <v>1000</v>
      </c>
      <c r="L2088" s="485"/>
      <c r="M2088" s="485">
        <f>SUM(J2088:L2088)</f>
        <v>1000</v>
      </c>
      <c r="N2088" s="715"/>
      <c r="O2088" s="817"/>
      <c r="P2088" s="1137" t="s">
        <v>102</v>
      </c>
      <c r="Q2088" s="508">
        <v>1000</v>
      </c>
      <c r="R2088" s="508">
        <v>986</v>
      </c>
      <c r="S2088" s="875" t="s">
        <v>1540</v>
      </c>
      <c r="T2088" s="897"/>
      <c r="U2088" s="897"/>
      <c r="V2088" s="770" t="s">
        <v>517</v>
      </c>
      <c r="W2088" s="31" t="s">
        <v>1538</v>
      </c>
      <c r="X2088" s="16">
        <f t="shared" si="315"/>
        <v>1000</v>
      </c>
      <c r="Y2088" s="16">
        <f t="shared" si="316"/>
        <v>0</v>
      </c>
    </row>
    <row r="2089" spans="1:25" s="30" customFormat="1" ht="45">
      <c r="A2089" s="112"/>
      <c r="B2089" s="861" t="s">
        <v>181</v>
      </c>
      <c r="C2089" s="510" t="s">
        <v>1541</v>
      </c>
      <c r="D2089" s="511">
        <v>40897</v>
      </c>
      <c r="E2089" s="786" t="s">
        <v>5658</v>
      </c>
      <c r="F2089" s="480" t="s">
        <v>5665</v>
      </c>
      <c r="G2089" s="497"/>
      <c r="H2089" s="486"/>
      <c r="I2089" s="486"/>
      <c r="J2089" s="173"/>
      <c r="K2089" s="173">
        <v>500</v>
      </c>
      <c r="L2089" s="173"/>
      <c r="M2089" s="173">
        <f>SUM(J2089:L2089)</f>
        <v>500</v>
      </c>
      <c r="N2089" s="715"/>
      <c r="O2089" s="817"/>
      <c r="P2089" s="1137" t="s">
        <v>102</v>
      </c>
      <c r="Q2089" s="508">
        <v>500</v>
      </c>
      <c r="R2089" s="508">
        <v>8</v>
      </c>
      <c r="S2089" s="875" t="s">
        <v>1542</v>
      </c>
      <c r="T2089" s="897"/>
      <c r="U2089" s="897"/>
      <c r="V2089" s="770" t="s">
        <v>517</v>
      </c>
      <c r="W2089" s="12" t="s">
        <v>1543</v>
      </c>
      <c r="X2089" s="16">
        <f t="shared" si="315"/>
        <v>500</v>
      </c>
      <c r="Y2089" s="16">
        <f t="shared" si="316"/>
        <v>0</v>
      </c>
    </row>
    <row r="2090" spans="1:25" s="39" customFormat="1" ht="15.95" customHeight="1">
      <c r="B2090" s="1102" t="s">
        <v>1509</v>
      </c>
      <c r="C2090" s="489" t="s">
        <v>1544</v>
      </c>
      <c r="D2090" s="490">
        <v>40995</v>
      </c>
      <c r="E2090" s="800" t="s">
        <v>5658</v>
      </c>
      <c r="F2090" s="804" t="s">
        <v>5665</v>
      </c>
      <c r="G2090" s="488"/>
      <c r="H2090" s="486"/>
      <c r="I2090" s="486"/>
      <c r="J2090" s="491"/>
      <c r="K2090" s="492">
        <v>500</v>
      </c>
      <c r="L2090" s="492"/>
      <c r="M2090" s="492">
        <f>SUM(K2090:L2090)</f>
        <v>500</v>
      </c>
      <c r="N2090" s="715"/>
      <c r="O2090" s="23"/>
      <c r="P2090" s="1137" t="s">
        <v>102</v>
      </c>
      <c r="Q2090" s="216">
        <v>500</v>
      </c>
      <c r="R2090" s="216">
        <v>500</v>
      </c>
      <c r="S2090" s="877"/>
      <c r="T2090" s="877"/>
      <c r="U2090" s="877"/>
      <c r="V2090" s="22"/>
      <c r="X2090" s="16">
        <f t="shared" si="315"/>
        <v>500</v>
      </c>
      <c r="Y2090" s="16">
        <f t="shared" si="316"/>
        <v>0</v>
      </c>
    </row>
    <row r="2091" spans="1:25" s="39" customFormat="1" ht="15.95" customHeight="1">
      <c r="B2091" s="21"/>
      <c r="C2091" s="23"/>
      <c r="D2091" s="380"/>
      <c r="E2091" s="23"/>
      <c r="F2091" s="22"/>
      <c r="G2091" s="22"/>
      <c r="H2091" s="22"/>
      <c r="I2091" s="22"/>
      <c r="J2091" s="22"/>
      <c r="K2091" s="22"/>
      <c r="L2091" s="22"/>
      <c r="M2091" s="22"/>
      <c r="N2091" s="22"/>
      <c r="O2091" s="818"/>
      <c r="P2091" s="165"/>
      <c r="Q2091" s="524"/>
      <c r="R2091" s="524"/>
      <c r="S2091" s="898"/>
      <c r="T2091" s="898"/>
      <c r="U2091" s="898"/>
      <c r="V2091" s="32"/>
      <c r="W2091" s="43"/>
      <c r="X2091" s="16">
        <f t="shared" si="315"/>
        <v>0</v>
      </c>
      <c r="Y2091" s="16">
        <f t="shared" si="316"/>
        <v>0</v>
      </c>
    </row>
    <row r="2092" spans="1:25" s="39" customFormat="1" ht="15.95" customHeight="1">
      <c r="B2092" s="1031" t="s">
        <v>1545</v>
      </c>
      <c r="C2092" s="43"/>
      <c r="D2092" s="718"/>
      <c r="E2092" s="329"/>
      <c r="F2092" s="30"/>
      <c r="G2092" s="30"/>
      <c r="H2092" s="717"/>
      <c r="I2092" s="717"/>
      <c r="J2092" s="479">
        <f t="shared" ref="J2092" si="318">J2093</f>
        <v>0</v>
      </c>
      <c r="K2092" s="479">
        <f>K2093</f>
        <v>500</v>
      </c>
      <c r="L2092" s="479">
        <f t="shared" ref="L2092:M2092" si="319">L2093</f>
        <v>0</v>
      </c>
      <c r="M2092" s="479">
        <f t="shared" si="319"/>
        <v>500</v>
      </c>
      <c r="N2092" s="716"/>
      <c r="O2092" s="820"/>
      <c r="P2092" s="43"/>
      <c r="Q2092" s="479">
        <f t="shared" ref="Q2092:R2092" si="320">Q2093</f>
        <v>500</v>
      </c>
      <c r="R2092" s="479">
        <f t="shared" si="320"/>
        <v>500</v>
      </c>
      <c r="S2092" s="894"/>
      <c r="T2092" s="894"/>
      <c r="U2092" s="894"/>
      <c r="V2092" s="32" t="s">
        <v>517</v>
      </c>
      <c r="W2092" s="31" t="s">
        <v>1546</v>
      </c>
      <c r="X2092" s="16">
        <f t="shared" si="315"/>
        <v>500</v>
      </c>
      <c r="Y2092" s="16">
        <f t="shared" si="316"/>
        <v>0</v>
      </c>
    </row>
    <row r="2093" spans="1:25" s="39" customFormat="1" ht="30">
      <c r="B2093" s="437" t="s">
        <v>1509</v>
      </c>
      <c r="C2093" s="489" t="s">
        <v>1547</v>
      </c>
      <c r="D2093" s="490">
        <v>40995</v>
      </c>
      <c r="E2093" s="252" t="s">
        <v>4992</v>
      </c>
      <c r="F2093" s="488" t="s">
        <v>1545</v>
      </c>
      <c r="G2093" s="488"/>
      <c r="H2093" s="519">
        <v>57124</v>
      </c>
      <c r="I2093" s="519"/>
      <c r="J2093" s="491"/>
      <c r="K2093" s="492">
        <v>500</v>
      </c>
      <c r="L2093" s="492"/>
      <c r="M2093" s="492">
        <f>SUM(K2093:L2093)</f>
        <v>500</v>
      </c>
      <c r="N2093" s="721">
        <f>M2093+H2093</f>
        <v>57624</v>
      </c>
      <c r="O2093" s="23"/>
      <c r="P2093" s="1137" t="s">
        <v>102</v>
      </c>
      <c r="Q2093" s="216">
        <f>163+337</f>
        <v>500</v>
      </c>
      <c r="R2093" s="216">
        <v>500</v>
      </c>
      <c r="S2093" s="877"/>
      <c r="T2093" s="877"/>
      <c r="U2093" s="877"/>
      <c r="V2093" s="22"/>
      <c r="X2093" s="16">
        <f t="shared" si="315"/>
        <v>500</v>
      </c>
      <c r="Y2093" s="16">
        <f t="shared" si="316"/>
        <v>0</v>
      </c>
    </row>
    <row r="2094" spans="1:25" s="39" customFormat="1" ht="15.95" customHeight="1">
      <c r="B2094" s="21"/>
      <c r="C2094" s="23"/>
      <c r="D2094" s="380"/>
      <c r="E2094" s="23"/>
      <c r="F2094" s="22"/>
      <c r="G2094" s="22"/>
      <c r="H2094" s="22"/>
      <c r="I2094" s="22"/>
      <c r="J2094" s="22"/>
      <c r="K2094" s="22"/>
      <c r="L2094" s="22"/>
      <c r="M2094" s="22"/>
      <c r="N2094" s="22"/>
      <c r="O2094" s="23"/>
      <c r="P2094" s="165"/>
      <c r="Q2094" s="724"/>
      <c r="R2094" s="724"/>
      <c r="S2094" s="877"/>
      <c r="T2094" s="877"/>
      <c r="U2094" s="877"/>
      <c r="V2094" s="22"/>
      <c r="X2094" s="16">
        <f t="shared" si="315"/>
        <v>0</v>
      </c>
      <c r="Y2094" s="16">
        <f t="shared" si="316"/>
        <v>0</v>
      </c>
    </row>
    <row r="2095" spans="1:25" s="30" customFormat="1" ht="15">
      <c r="A2095" s="112"/>
      <c r="B2095" s="470" t="s">
        <v>1548</v>
      </c>
      <c r="C2095" s="23"/>
      <c r="D2095" s="380"/>
      <c r="E2095" s="23"/>
      <c r="F2095" s="22"/>
      <c r="G2095" s="22"/>
      <c r="H2095" s="22"/>
      <c r="I2095" s="22"/>
      <c r="J2095" s="36">
        <f>J2096+J2101+J2104</f>
        <v>0</v>
      </c>
      <c r="K2095" s="36">
        <f t="shared" ref="K2095:M2095" si="321">K2096+K2101+K2104</f>
        <v>2300</v>
      </c>
      <c r="L2095" s="36">
        <f t="shared" si="321"/>
        <v>0</v>
      </c>
      <c r="M2095" s="36">
        <f t="shared" si="321"/>
        <v>2300</v>
      </c>
      <c r="N2095" s="22"/>
      <c r="O2095" s="824"/>
      <c r="P2095" s="165"/>
      <c r="Q2095" s="36">
        <f t="shared" ref="Q2095:R2095" si="322">Q2096+Q2101+Q2104</f>
        <v>800</v>
      </c>
      <c r="R2095" s="36">
        <f t="shared" si="322"/>
        <v>800</v>
      </c>
      <c r="S2095" s="876"/>
      <c r="T2095" s="876"/>
      <c r="U2095" s="876"/>
      <c r="V2095" s="32"/>
      <c r="W2095" s="476"/>
      <c r="X2095" s="16">
        <f t="shared" si="315"/>
        <v>2300</v>
      </c>
      <c r="Y2095" s="16">
        <f t="shared" si="316"/>
        <v>0</v>
      </c>
    </row>
    <row r="2096" spans="1:25" s="30" customFormat="1" ht="15">
      <c r="A2096" s="112"/>
      <c r="B2096" s="866" t="s">
        <v>1549</v>
      </c>
      <c r="C2096" s="482"/>
      <c r="D2096" s="483"/>
      <c r="E2096" s="695"/>
      <c r="F2096" s="517"/>
      <c r="G2096" s="518"/>
      <c r="H2096" s="519">
        <v>652583</v>
      </c>
      <c r="I2096" s="519"/>
      <c r="J2096" s="500">
        <f t="shared" ref="J2096" si="323">J2097+J2098</f>
        <v>0</v>
      </c>
      <c r="K2096" s="500">
        <f>K2097+K2098</f>
        <v>1500</v>
      </c>
      <c r="L2096" s="500">
        <f t="shared" ref="L2096:M2096" si="324">L2097+L2098</f>
        <v>0</v>
      </c>
      <c r="M2096" s="500">
        <f t="shared" si="324"/>
        <v>1500</v>
      </c>
      <c r="N2096" s="513">
        <f>M2096+H2096</f>
        <v>654083</v>
      </c>
      <c r="O2096" s="817"/>
      <c r="P2096" s="476"/>
      <c r="Q2096" s="500">
        <f t="shared" ref="Q2096:R2096" si="325">Q2097+Q2098</f>
        <v>0</v>
      </c>
      <c r="R2096" s="500">
        <f t="shared" si="325"/>
        <v>0</v>
      </c>
      <c r="S2096" s="897"/>
      <c r="T2096" s="897"/>
      <c r="U2096" s="897"/>
      <c r="V2096" s="32" t="s">
        <v>871</v>
      </c>
      <c r="W2096" s="32" t="s">
        <v>517</v>
      </c>
      <c r="X2096" s="16">
        <f t="shared" si="315"/>
        <v>1500</v>
      </c>
      <c r="Y2096" s="16">
        <f t="shared" si="316"/>
        <v>0</v>
      </c>
    </row>
    <row r="2097" spans="1:25" s="30" customFormat="1" ht="30">
      <c r="A2097" s="112"/>
      <c r="B2097" s="863" t="s">
        <v>1393</v>
      </c>
      <c r="C2097" s="482" t="s">
        <v>1550</v>
      </c>
      <c r="D2097" s="483">
        <v>40884</v>
      </c>
      <c r="E2097" s="786" t="s">
        <v>4973</v>
      </c>
      <c r="F2097" s="501" t="s">
        <v>5666</v>
      </c>
      <c r="G2097" s="498"/>
      <c r="H2097" s="725"/>
      <c r="I2097" s="725"/>
      <c r="J2097" s="485"/>
      <c r="K2097" s="485">
        <v>1000</v>
      </c>
      <c r="L2097" s="485"/>
      <c r="M2097" s="485">
        <f t="shared" ref="M2097" si="326">SUM(J2097:L2097)</f>
        <v>1000</v>
      </c>
      <c r="N2097" s="715"/>
      <c r="O2097" s="817"/>
      <c r="P2097" s="32"/>
      <c r="Q2097" s="524"/>
      <c r="R2097" s="524"/>
      <c r="S2097" s="897"/>
      <c r="T2097" s="897"/>
      <c r="U2097" s="897"/>
      <c r="V2097" s="32" t="s">
        <v>198</v>
      </c>
      <c r="W2097" s="32" t="s">
        <v>517</v>
      </c>
      <c r="X2097" s="16">
        <f t="shared" si="315"/>
        <v>1000</v>
      </c>
      <c r="Y2097" s="16">
        <f t="shared" si="316"/>
        <v>0</v>
      </c>
    </row>
    <row r="2098" spans="1:25" s="30" customFormat="1" ht="30">
      <c r="A2098" s="112"/>
      <c r="B2098" s="437" t="s">
        <v>1551</v>
      </c>
      <c r="C2098" s="489" t="s">
        <v>1552</v>
      </c>
      <c r="D2098" s="490">
        <v>40995</v>
      </c>
      <c r="E2098" s="252" t="s">
        <v>4973</v>
      </c>
      <c r="F2098" s="488" t="s">
        <v>5667</v>
      </c>
      <c r="G2098" s="488"/>
      <c r="H2098" s="722"/>
      <c r="I2098" s="722"/>
      <c r="J2098" s="491"/>
      <c r="K2098" s="492">
        <v>500</v>
      </c>
      <c r="L2098" s="492"/>
      <c r="M2098" s="492">
        <f>SUM(K2098:L2098)</f>
        <v>500</v>
      </c>
      <c r="N2098" s="715"/>
      <c r="O2098" s="817"/>
      <c r="P2098" s="32"/>
      <c r="Q2098" s="524"/>
      <c r="R2098" s="524"/>
      <c r="S2098" s="897"/>
      <c r="T2098" s="897"/>
      <c r="U2098" s="897"/>
      <c r="V2098" s="32"/>
      <c r="W2098" s="32"/>
      <c r="X2098" s="16">
        <f t="shared" si="315"/>
        <v>500</v>
      </c>
      <c r="Y2098" s="16">
        <f t="shared" si="316"/>
        <v>0</v>
      </c>
    </row>
    <row r="2099" spans="1:25" s="30" customFormat="1" ht="15">
      <c r="A2099" s="112"/>
      <c r="B2099" s="437"/>
      <c r="C2099" s="489"/>
      <c r="D2099" s="490"/>
      <c r="E2099" s="252"/>
      <c r="F2099" s="488"/>
      <c r="G2099" s="488"/>
      <c r="H2099" s="722"/>
      <c r="I2099" s="722"/>
      <c r="J2099" s="491"/>
      <c r="K2099" s="492"/>
      <c r="L2099" s="492"/>
      <c r="M2099" s="492"/>
      <c r="N2099" s="715"/>
      <c r="O2099" s="817"/>
      <c r="P2099" s="32"/>
      <c r="Q2099" s="524"/>
      <c r="R2099" s="524"/>
      <c r="S2099" s="897"/>
      <c r="T2099" s="897"/>
      <c r="U2099" s="897"/>
      <c r="V2099" s="32"/>
      <c r="W2099" s="476"/>
      <c r="X2099" s="16">
        <f t="shared" si="315"/>
        <v>0</v>
      </c>
      <c r="Y2099" s="16">
        <f t="shared" si="316"/>
        <v>0</v>
      </c>
    </row>
    <row r="2100" spans="1:25" s="30" customFormat="1" ht="15">
      <c r="A2100" s="112"/>
      <c r="B2100" s="866" t="s">
        <v>1553</v>
      </c>
      <c r="C2100" s="489"/>
      <c r="D2100" s="490"/>
      <c r="E2100" s="695"/>
      <c r="F2100" s="488"/>
      <c r="G2100" s="488"/>
      <c r="H2100" s="722"/>
      <c r="I2100" s="722"/>
      <c r="J2100" s="491"/>
      <c r="K2100" s="492"/>
      <c r="L2100" s="492"/>
      <c r="M2100" s="492"/>
      <c r="N2100" s="715"/>
      <c r="O2100" s="820"/>
      <c r="P2100" s="476"/>
      <c r="Q2100" s="508"/>
      <c r="R2100" s="508"/>
      <c r="S2100" s="894"/>
      <c r="T2100" s="894"/>
      <c r="U2100" s="894"/>
      <c r="V2100" s="32" t="s">
        <v>198</v>
      </c>
      <c r="W2100" s="32" t="s">
        <v>517</v>
      </c>
      <c r="X2100" s="16">
        <f t="shared" si="315"/>
        <v>0</v>
      </c>
      <c r="Y2100" s="16">
        <f t="shared" si="316"/>
        <v>0</v>
      </c>
    </row>
    <row r="2101" spans="1:25" s="30" customFormat="1" ht="30">
      <c r="A2101" s="112"/>
      <c r="B2101" s="437" t="s">
        <v>1554</v>
      </c>
      <c r="C2101" s="489" t="s">
        <v>1555</v>
      </c>
      <c r="D2101" s="490">
        <v>40995</v>
      </c>
      <c r="E2101" s="252" t="s">
        <v>3044</v>
      </c>
      <c r="F2101" s="488" t="s">
        <v>5649</v>
      </c>
      <c r="G2101" s="488"/>
      <c r="H2101" s="519">
        <v>183308</v>
      </c>
      <c r="I2101" s="519"/>
      <c r="J2101" s="520"/>
      <c r="K2101" s="515">
        <v>300</v>
      </c>
      <c r="L2101" s="515"/>
      <c r="M2101" s="515">
        <f>SUM(K2101:L2101)</f>
        <v>300</v>
      </c>
      <c r="N2101" s="721">
        <f>M2101+H2101</f>
        <v>183608</v>
      </c>
      <c r="O2101" s="825"/>
      <c r="P2101" s="32"/>
      <c r="Q2101" s="508">
        <v>300</v>
      </c>
      <c r="R2101" s="508">
        <v>300</v>
      </c>
      <c r="S2101" s="899" t="s">
        <v>1556</v>
      </c>
      <c r="T2101" s="899"/>
      <c r="U2101" s="899"/>
      <c r="V2101" s="32"/>
      <c r="W2101" s="32"/>
      <c r="X2101" s="16">
        <f t="shared" si="315"/>
        <v>300</v>
      </c>
      <c r="Y2101" s="16">
        <f t="shared" si="316"/>
        <v>0</v>
      </c>
    </row>
    <row r="2102" spans="1:25" s="30" customFormat="1" ht="15">
      <c r="A2102" s="112"/>
      <c r="B2102" s="437"/>
      <c r="C2102" s="489"/>
      <c r="D2102" s="490"/>
      <c r="E2102" s="252"/>
      <c r="F2102" s="488"/>
      <c r="G2102" s="488"/>
      <c r="H2102" s="717"/>
      <c r="I2102" s="717"/>
      <c r="J2102" s="520"/>
      <c r="K2102" s="515"/>
      <c r="L2102" s="515"/>
      <c r="M2102" s="515"/>
      <c r="N2102" s="726"/>
      <c r="O2102" s="825"/>
      <c r="P2102" s="32"/>
      <c r="Q2102" s="508"/>
      <c r="R2102" s="508"/>
      <c r="S2102" s="899"/>
      <c r="T2102" s="899"/>
      <c r="U2102" s="899"/>
      <c r="V2102" s="32"/>
      <c r="W2102" s="727"/>
      <c r="X2102" s="16">
        <f t="shared" si="315"/>
        <v>0</v>
      </c>
      <c r="Y2102" s="16">
        <f t="shared" si="316"/>
        <v>0</v>
      </c>
    </row>
    <row r="2103" spans="1:25" s="30" customFormat="1" ht="15">
      <c r="A2103" s="112"/>
      <c r="B2103" s="866" t="s">
        <v>1557</v>
      </c>
      <c r="C2103" s="489"/>
      <c r="D2103" s="490"/>
      <c r="E2103" s="695"/>
      <c r="F2103" s="488"/>
      <c r="G2103" s="488"/>
      <c r="H2103" s="717"/>
      <c r="I2103" s="717"/>
      <c r="J2103" s="520"/>
      <c r="K2103" s="515"/>
      <c r="L2103" s="515"/>
      <c r="M2103" s="515"/>
      <c r="N2103" s="726"/>
      <c r="O2103" s="820"/>
      <c r="P2103" s="727"/>
      <c r="Q2103" s="508"/>
      <c r="R2103" s="508"/>
      <c r="S2103" s="894"/>
      <c r="T2103" s="894"/>
      <c r="U2103" s="894"/>
      <c r="V2103" s="32" t="s">
        <v>198</v>
      </c>
      <c r="W2103" s="32" t="s">
        <v>517</v>
      </c>
      <c r="X2103" s="16">
        <f t="shared" si="315"/>
        <v>0</v>
      </c>
      <c r="Y2103" s="16">
        <f t="shared" si="316"/>
        <v>0</v>
      </c>
    </row>
    <row r="2104" spans="1:25" s="39" customFormat="1" ht="30">
      <c r="B2104" s="437" t="s">
        <v>1558</v>
      </c>
      <c r="C2104" s="489" t="s">
        <v>1559</v>
      </c>
      <c r="D2104" s="490">
        <v>40995</v>
      </c>
      <c r="E2104" s="252" t="s">
        <v>2869</v>
      </c>
      <c r="F2104" s="488" t="s">
        <v>5649</v>
      </c>
      <c r="G2104" s="488"/>
      <c r="H2104" s="519">
        <v>245055</v>
      </c>
      <c r="I2104" s="519"/>
      <c r="J2104" s="520"/>
      <c r="K2104" s="515">
        <v>500</v>
      </c>
      <c r="L2104" s="515"/>
      <c r="M2104" s="515">
        <f>SUM(K2104:L2104)</f>
        <v>500</v>
      </c>
      <c r="N2104" s="721">
        <f>M2104+H2104</f>
        <v>245555</v>
      </c>
      <c r="O2104" s="23"/>
      <c r="P2104" s="32"/>
      <c r="Q2104" s="216">
        <v>500</v>
      </c>
      <c r="R2104" s="216">
        <v>500</v>
      </c>
      <c r="S2104" s="877"/>
      <c r="T2104" s="877"/>
      <c r="U2104" s="877"/>
      <c r="V2104" s="22"/>
      <c r="X2104" s="16">
        <f t="shared" si="315"/>
        <v>500</v>
      </c>
      <c r="Y2104" s="16">
        <f t="shared" si="316"/>
        <v>0</v>
      </c>
    </row>
    <row r="2105" spans="1:25" s="39" customFormat="1" ht="15.95" customHeight="1">
      <c r="B2105" s="437"/>
      <c r="C2105" s="489"/>
      <c r="D2105" s="490"/>
      <c r="E2105" s="252"/>
      <c r="F2105" s="488"/>
      <c r="G2105" s="488"/>
      <c r="H2105" s="519"/>
      <c r="I2105" s="519"/>
      <c r="J2105" s="520"/>
      <c r="K2105" s="515"/>
      <c r="L2105" s="515"/>
      <c r="M2105" s="515"/>
      <c r="N2105" s="721"/>
      <c r="O2105" s="23"/>
      <c r="P2105" s="32"/>
      <c r="Q2105" s="216"/>
      <c r="R2105" s="216"/>
      <c r="S2105" s="877"/>
      <c r="T2105" s="877"/>
      <c r="U2105" s="877"/>
      <c r="V2105" s="22"/>
      <c r="X2105" s="16"/>
      <c r="Y2105" s="16"/>
    </row>
    <row r="2106" spans="1:25" s="39" customFormat="1" ht="15.95" customHeight="1">
      <c r="B2106" s="35" t="s">
        <v>303</v>
      </c>
      <c r="C2106" s="23"/>
      <c r="D2106" s="380"/>
      <c r="E2106" s="23"/>
      <c r="F2106" s="22"/>
      <c r="G2106" s="22"/>
      <c r="H2106" s="22"/>
      <c r="I2106" s="22"/>
      <c r="J2106" s="22"/>
      <c r="K2106" s="22"/>
      <c r="L2106" s="22"/>
      <c r="M2106" s="36">
        <f>M2107+M2576</f>
        <v>2664551.4409999996</v>
      </c>
      <c r="N2106" s="22"/>
      <c r="O2106" s="23"/>
      <c r="P2106" s="165"/>
      <c r="Q2106" s="36">
        <f>Q2107+Q2576</f>
        <v>2705852.4309999999</v>
      </c>
      <c r="R2106" s="36">
        <f>R2107+R2576</f>
        <v>2700155.4309999999</v>
      </c>
      <c r="S2106" s="877"/>
      <c r="T2106" s="877"/>
      <c r="U2106" s="877"/>
      <c r="V2106" s="22"/>
      <c r="X2106" s="16">
        <f t="shared" si="315"/>
        <v>0</v>
      </c>
      <c r="Y2106" s="16">
        <f>X2106-M2106</f>
        <v>-2664551.4409999996</v>
      </c>
    </row>
    <row r="2107" spans="1:25" s="39" customFormat="1" ht="15.95" customHeight="1">
      <c r="B2107" s="35" t="s">
        <v>1560</v>
      </c>
      <c r="C2107" s="23"/>
      <c r="D2107" s="380"/>
      <c r="E2107" s="23"/>
      <c r="F2107" s="22"/>
      <c r="G2107" s="22"/>
      <c r="H2107" s="22"/>
      <c r="I2107" s="22"/>
      <c r="J2107" s="22"/>
      <c r="K2107" s="22"/>
      <c r="L2107" s="22"/>
      <c r="M2107" s="36">
        <f>SUM(M2108:M2574)</f>
        <v>2003653.6609999998</v>
      </c>
      <c r="N2107" s="22"/>
      <c r="O2107" s="23"/>
      <c r="P2107" s="165"/>
      <c r="Q2107" s="36">
        <f>SUM(Q2108)+SUM(Q2135:Q2166)+SUM(Q2172:Q2182)+SUM(Q2186:Q2210)+SUM(Q2214:Q2227)+SUM(Q2232:Q2233)+SUM(Q2235:Q2278)+Q2366+Q2368+Q2375+Q2384+Q2385+Q2386+Q2387+SUM(Q2392:Q2410)+Q2414+Q2415+Q2416+Q2417+Q2418+Q2419+Q2420+Q2422++Q2430+Q2435+SUM(Q2445:Q2449)+SUM(Q2453:Q2454)+SUM(Q2460:Q2466)+SUM(Q2470:Q2474)+Q2478+Q2479+SUM(Q2483:Q2493)+SUM(Q2497:Q2504)+SUM(Q2508:Q2509)+SUM(Q2513:Q2526)+Q2528+SUM(Q2531:Q2541)+Q2545+Q2551+SUM(Q2555:Q2560)+SUM(Q2565:Q2566)+SUM(Q2573:Q2574)</f>
        <v>2004424.6510000001</v>
      </c>
      <c r="R2107" s="36">
        <f>SUM(R2108)+SUM(R2135:R2166)+SUM(R2172:R2182)+SUM(R2186:R2210)+SUM(R2214:R2227)+SUM(R2232:R2233)+SUM(R2235:R2278)+R2366+R2368+R2375+R2384+R2385+R2386+R2387+SUM(R2392:R2410)+R2414+R2415+R2416+R2417+R2418+R2419+R2420+R2422++R2430+R2435+SUM(R2445:R2449)+SUM(R2453:R2454)+SUM(R2460:R2466)+SUM(R2470:R2474)+R2478+R2479+SUM(R2483:R2493)+SUM(R2497:R2504)+SUM(R2508:R2509)+SUM(R2513:R2526)+R2528+SUM(R2531:R2541)+R2545+R2551+SUM(R2555:R2560)+SUM(R2565:R2566)+SUM(R2573:R2574)</f>
        <v>1998731.6510000001</v>
      </c>
      <c r="S2107" s="877"/>
      <c r="T2107" s="877"/>
      <c r="U2107" s="877"/>
      <c r="V2107" s="22"/>
      <c r="X2107" s="16"/>
      <c r="Y2107" s="16"/>
    </row>
    <row r="2108" spans="1:25" s="42" customFormat="1" ht="15">
      <c r="A2108" s="740"/>
      <c r="B2108" s="446" t="s">
        <v>1561</v>
      </c>
      <c r="C2108" s="649" t="s">
        <v>1563</v>
      </c>
      <c r="D2108" s="444">
        <v>40841</v>
      </c>
      <c r="E2108" s="647"/>
      <c r="F2108" s="42" t="s">
        <v>1562</v>
      </c>
      <c r="H2108" s="283"/>
      <c r="I2108" s="283"/>
      <c r="J2108" s="445"/>
      <c r="K2108" s="283">
        <v>20000</v>
      </c>
      <c r="L2108" s="283"/>
      <c r="M2108" s="283">
        <f t="shared" ref="M2108" si="327">SUM(K2108:L2108)</f>
        <v>20000</v>
      </c>
      <c r="N2108" s="283"/>
      <c r="O2108" s="815"/>
      <c r="P2108" s="164"/>
      <c r="Q2108" s="522">
        <f>SUM(Q2109:Q2133)</f>
        <v>20000</v>
      </c>
      <c r="R2108" s="522">
        <f>SUM(R2109:R2133)</f>
        <v>20000</v>
      </c>
      <c r="S2108" s="933"/>
      <c r="T2108" s="933"/>
      <c r="U2108" s="933"/>
      <c r="X2108" s="16">
        <f t="shared" ref="X2108" si="328">SUM(J2108:L2108)</f>
        <v>20000</v>
      </c>
      <c r="Y2108" s="16">
        <f>X2108-M2108</f>
        <v>0</v>
      </c>
    </row>
    <row r="2109" spans="1:25" s="42" customFormat="1" ht="15">
      <c r="A2109" s="740"/>
      <c r="B2109" s="1183" t="s">
        <v>1564</v>
      </c>
      <c r="C2109" s="649"/>
      <c r="D2109" s="444"/>
      <c r="E2109" s="784"/>
      <c r="H2109" s="283"/>
      <c r="I2109" s="283"/>
      <c r="J2109" s="445"/>
      <c r="K2109" s="283"/>
      <c r="L2109" s="283"/>
      <c r="M2109" s="283"/>
      <c r="N2109" s="283"/>
      <c r="O2109" s="815"/>
      <c r="P2109" s="108" t="s">
        <v>103</v>
      </c>
      <c r="Q2109" s="508">
        <v>5000</v>
      </c>
      <c r="R2109" s="508">
        <v>5000</v>
      </c>
      <c r="S2109" s="1345" t="s">
        <v>1565</v>
      </c>
      <c r="T2109" s="1345"/>
      <c r="U2109" s="1345"/>
      <c r="W2109" s="525" t="s">
        <v>930</v>
      </c>
      <c r="X2109" s="16"/>
      <c r="Y2109" s="16"/>
    </row>
    <row r="2110" spans="1:25" s="42" customFormat="1" ht="99" customHeight="1">
      <c r="A2110" s="740"/>
      <c r="B2110" s="1183" t="s">
        <v>1566</v>
      </c>
      <c r="C2110" s="649"/>
      <c r="D2110" s="444"/>
      <c r="E2110" s="784"/>
      <c r="H2110" s="283"/>
      <c r="I2110" s="283"/>
      <c r="J2110" s="445"/>
      <c r="K2110" s="283"/>
      <c r="L2110" s="283"/>
      <c r="M2110" s="283"/>
      <c r="N2110" s="283"/>
      <c r="O2110" s="815"/>
      <c r="P2110" s="108" t="s">
        <v>103</v>
      </c>
      <c r="Q2110" s="508">
        <v>3500</v>
      </c>
      <c r="R2110" s="508">
        <v>3500</v>
      </c>
      <c r="S2110" s="1345" t="s">
        <v>5804</v>
      </c>
      <c r="T2110" s="1345"/>
      <c r="U2110" s="1345"/>
      <c r="W2110" s="525" t="s">
        <v>930</v>
      </c>
      <c r="X2110" s="16"/>
      <c r="Y2110" s="16"/>
    </row>
    <row r="2111" spans="1:25" s="42" customFormat="1" ht="15">
      <c r="A2111" s="740"/>
      <c r="B2111" s="1165" t="s">
        <v>1567</v>
      </c>
      <c r="C2111" s="649"/>
      <c r="D2111" s="444"/>
      <c r="E2111" s="784"/>
      <c r="H2111" s="283"/>
      <c r="I2111" s="283"/>
      <c r="J2111" s="445"/>
      <c r="K2111" s="283"/>
      <c r="L2111" s="283"/>
      <c r="M2111" s="283"/>
      <c r="N2111" s="283"/>
      <c r="O2111" s="815"/>
      <c r="P2111" s="164"/>
      <c r="Q2111" s="524">
        <v>500</v>
      </c>
      <c r="R2111" s="524">
        <v>500</v>
      </c>
      <c r="S2111" s="1361" t="s">
        <v>1568</v>
      </c>
      <c r="T2111" s="1361"/>
      <c r="U2111" s="1361"/>
      <c r="X2111" s="16"/>
      <c r="Y2111" s="16"/>
    </row>
    <row r="2112" spans="1:25" s="42" customFormat="1" ht="15">
      <c r="A2112" s="740"/>
      <c r="B2112" s="1165" t="s">
        <v>1569</v>
      </c>
      <c r="C2112" s="649"/>
      <c r="D2112" s="444"/>
      <c r="E2112" s="784"/>
      <c r="H2112" s="283"/>
      <c r="I2112" s="283"/>
      <c r="J2112" s="445"/>
      <c r="K2112" s="283"/>
      <c r="L2112" s="283"/>
      <c r="M2112" s="283"/>
      <c r="N2112" s="283"/>
      <c r="O2112" s="815"/>
      <c r="P2112" s="164"/>
      <c r="Q2112" s="524">
        <v>500</v>
      </c>
      <c r="R2112" s="524">
        <v>500</v>
      </c>
      <c r="S2112" s="1361"/>
      <c r="T2112" s="1361"/>
      <c r="U2112" s="1361"/>
      <c r="X2112" s="16"/>
      <c r="Y2112" s="16"/>
    </row>
    <row r="2113" spans="1:25" s="42" customFormat="1" ht="15">
      <c r="A2113" s="740"/>
      <c r="B2113" s="1165" t="s">
        <v>1570</v>
      </c>
      <c r="C2113" s="649"/>
      <c r="D2113" s="444"/>
      <c r="E2113" s="784"/>
      <c r="H2113" s="283"/>
      <c r="I2113" s="283"/>
      <c r="J2113" s="445"/>
      <c r="K2113" s="283"/>
      <c r="L2113" s="283"/>
      <c r="M2113" s="283"/>
      <c r="N2113" s="283"/>
      <c r="O2113" s="815"/>
      <c r="P2113" s="164"/>
      <c r="Q2113" s="524">
        <v>500</v>
      </c>
      <c r="R2113" s="524">
        <v>500</v>
      </c>
      <c r="S2113" s="1361"/>
      <c r="T2113" s="1361"/>
      <c r="U2113" s="1361"/>
      <c r="X2113" s="16"/>
      <c r="Y2113" s="16"/>
    </row>
    <row r="2114" spans="1:25" s="42" customFormat="1" ht="15">
      <c r="A2114" s="740"/>
      <c r="B2114" s="1165" t="s">
        <v>1571</v>
      </c>
      <c r="C2114" s="649"/>
      <c r="D2114" s="444"/>
      <c r="E2114" s="784"/>
      <c r="H2114" s="283"/>
      <c r="I2114" s="283"/>
      <c r="J2114" s="445"/>
      <c r="K2114" s="283"/>
      <c r="L2114" s="283"/>
      <c r="M2114" s="283"/>
      <c r="N2114" s="283"/>
      <c r="O2114" s="815"/>
      <c r="P2114" s="164"/>
      <c r="Q2114" s="524">
        <v>500</v>
      </c>
      <c r="R2114" s="524">
        <v>500</v>
      </c>
      <c r="S2114" s="1361"/>
      <c r="T2114" s="1361"/>
      <c r="U2114" s="1361"/>
      <c r="X2114" s="16"/>
      <c r="Y2114" s="16"/>
    </row>
    <row r="2115" spans="1:25" s="42" customFormat="1" ht="15">
      <c r="A2115" s="740"/>
      <c r="B2115" s="1165" t="s">
        <v>1572</v>
      </c>
      <c r="C2115" s="649"/>
      <c r="D2115" s="444"/>
      <c r="E2115" s="784"/>
      <c r="H2115" s="283"/>
      <c r="I2115" s="283"/>
      <c r="J2115" s="445"/>
      <c r="K2115" s="283"/>
      <c r="L2115" s="283"/>
      <c r="M2115" s="283"/>
      <c r="N2115" s="283"/>
      <c r="O2115" s="815"/>
      <c r="P2115" s="164"/>
      <c r="Q2115" s="524">
        <v>500</v>
      </c>
      <c r="R2115" s="524">
        <v>500</v>
      </c>
      <c r="S2115" s="1361"/>
      <c r="T2115" s="1361"/>
      <c r="U2115" s="1361"/>
      <c r="X2115" s="16"/>
      <c r="Y2115" s="16"/>
    </row>
    <row r="2116" spans="1:25" s="42" customFormat="1" ht="15">
      <c r="A2116" s="740"/>
      <c r="B2116" s="1165" t="s">
        <v>1573</v>
      </c>
      <c r="C2116" s="649"/>
      <c r="D2116" s="444"/>
      <c r="E2116" s="784"/>
      <c r="H2116" s="283"/>
      <c r="I2116" s="283"/>
      <c r="J2116" s="445"/>
      <c r="K2116" s="283"/>
      <c r="L2116" s="283"/>
      <c r="M2116" s="283"/>
      <c r="N2116" s="283"/>
      <c r="O2116" s="815"/>
      <c r="P2116" s="164"/>
      <c r="Q2116" s="524">
        <v>500</v>
      </c>
      <c r="R2116" s="524">
        <v>500</v>
      </c>
      <c r="S2116" s="1361"/>
      <c r="T2116" s="1361"/>
      <c r="U2116" s="1361"/>
      <c r="X2116" s="16"/>
      <c r="Y2116" s="16"/>
    </row>
    <row r="2117" spans="1:25" s="42" customFormat="1" ht="15">
      <c r="A2117" s="740"/>
      <c r="B2117" s="1165" t="s">
        <v>1574</v>
      </c>
      <c r="C2117" s="649"/>
      <c r="D2117" s="444"/>
      <c r="E2117" s="784"/>
      <c r="H2117" s="283"/>
      <c r="I2117" s="283"/>
      <c r="J2117" s="445"/>
      <c r="K2117" s="283"/>
      <c r="L2117" s="283"/>
      <c r="M2117" s="283"/>
      <c r="N2117" s="283"/>
      <c r="O2117" s="815"/>
      <c r="P2117" s="164"/>
      <c r="Q2117" s="524">
        <v>500</v>
      </c>
      <c r="R2117" s="524">
        <v>500</v>
      </c>
      <c r="S2117" s="1361"/>
      <c r="T2117" s="1361"/>
      <c r="U2117" s="1361"/>
      <c r="X2117" s="16"/>
      <c r="Y2117" s="16"/>
    </row>
    <row r="2118" spans="1:25" s="42" customFormat="1" ht="15">
      <c r="A2118" s="740"/>
      <c r="B2118" s="1165" t="s">
        <v>1575</v>
      </c>
      <c r="C2118" s="649"/>
      <c r="D2118" s="444"/>
      <c r="E2118" s="784"/>
      <c r="H2118" s="283"/>
      <c r="I2118" s="283"/>
      <c r="J2118" s="445"/>
      <c r="K2118" s="283"/>
      <c r="L2118" s="283"/>
      <c r="M2118" s="283"/>
      <c r="N2118" s="283"/>
      <c r="O2118" s="815"/>
      <c r="P2118" s="164"/>
      <c r="Q2118" s="524">
        <v>500</v>
      </c>
      <c r="R2118" s="524">
        <v>500</v>
      </c>
      <c r="S2118" s="1361"/>
      <c r="T2118" s="1361"/>
      <c r="U2118" s="1361"/>
      <c r="X2118" s="16"/>
      <c r="Y2118" s="16"/>
    </row>
    <row r="2119" spans="1:25" s="42" customFormat="1" ht="15">
      <c r="A2119" s="740"/>
      <c r="B2119" s="1165" t="s">
        <v>1576</v>
      </c>
      <c r="C2119" s="649"/>
      <c r="D2119" s="444"/>
      <c r="E2119" s="784"/>
      <c r="H2119" s="283"/>
      <c r="I2119" s="283"/>
      <c r="J2119" s="445"/>
      <c r="K2119" s="283"/>
      <c r="L2119" s="283"/>
      <c r="M2119" s="283"/>
      <c r="N2119" s="283"/>
      <c r="O2119" s="815"/>
      <c r="P2119" s="164"/>
      <c r="Q2119" s="524">
        <v>500</v>
      </c>
      <c r="R2119" s="524">
        <v>500</v>
      </c>
      <c r="S2119" s="1361"/>
      <c r="T2119" s="1361"/>
      <c r="U2119" s="1361"/>
      <c r="X2119" s="16"/>
      <c r="Y2119" s="16"/>
    </row>
    <row r="2120" spans="1:25" s="42" customFormat="1" ht="15">
      <c r="A2120" s="740"/>
      <c r="B2120" s="1165" t="s">
        <v>1577</v>
      </c>
      <c r="C2120" s="649"/>
      <c r="D2120" s="444"/>
      <c r="E2120" s="784"/>
      <c r="H2120" s="283"/>
      <c r="I2120" s="283"/>
      <c r="J2120" s="445"/>
      <c r="K2120" s="283"/>
      <c r="L2120" s="283"/>
      <c r="M2120" s="283"/>
      <c r="N2120" s="283"/>
      <c r="O2120" s="815"/>
      <c r="P2120" s="164"/>
      <c r="Q2120" s="524">
        <v>500</v>
      </c>
      <c r="R2120" s="524">
        <v>500</v>
      </c>
      <c r="S2120" s="1361"/>
      <c r="T2120" s="1361"/>
      <c r="U2120" s="1361"/>
      <c r="X2120" s="16"/>
      <c r="Y2120" s="16"/>
    </row>
    <row r="2121" spans="1:25" s="42" customFormat="1" ht="15">
      <c r="A2121" s="740"/>
      <c r="B2121" s="1165" t="s">
        <v>1578</v>
      </c>
      <c r="C2121" s="649"/>
      <c r="D2121" s="444"/>
      <c r="E2121" s="784"/>
      <c r="H2121" s="283"/>
      <c r="I2121" s="283"/>
      <c r="J2121" s="445"/>
      <c r="K2121" s="283"/>
      <c r="L2121" s="283"/>
      <c r="M2121" s="283"/>
      <c r="N2121" s="283"/>
      <c r="O2121" s="815"/>
      <c r="P2121" s="164"/>
      <c r="Q2121" s="524">
        <v>500</v>
      </c>
      <c r="R2121" s="524">
        <v>500</v>
      </c>
      <c r="S2121" s="1361"/>
      <c r="T2121" s="1361"/>
      <c r="U2121" s="1361"/>
      <c r="X2121" s="16"/>
      <c r="Y2121" s="16"/>
    </row>
    <row r="2122" spans="1:25" s="42" customFormat="1" ht="15">
      <c r="A2122" s="740"/>
      <c r="B2122" s="1165" t="s">
        <v>1579</v>
      </c>
      <c r="C2122" s="649"/>
      <c r="D2122" s="444"/>
      <c r="E2122" s="784"/>
      <c r="H2122" s="283"/>
      <c r="I2122" s="283"/>
      <c r="J2122" s="445"/>
      <c r="K2122" s="283"/>
      <c r="L2122" s="283"/>
      <c r="M2122" s="283"/>
      <c r="N2122" s="283"/>
      <c r="O2122" s="815"/>
      <c r="P2122" s="164"/>
      <c r="Q2122" s="524">
        <v>500</v>
      </c>
      <c r="R2122" s="524">
        <v>500</v>
      </c>
      <c r="S2122" s="1361"/>
      <c r="T2122" s="1361"/>
      <c r="U2122" s="1361"/>
      <c r="X2122" s="16"/>
      <c r="Y2122" s="16"/>
    </row>
    <row r="2123" spans="1:25" s="42" customFormat="1" ht="15">
      <c r="A2123" s="740"/>
      <c r="B2123" s="1165" t="s">
        <v>1580</v>
      </c>
      <c r="C2123" s="649"/>
      <c r="D2123" s="444"/>
      <c r="E2123" s="784"/>
      <c r="H2123" s="283"/>
      <c r="I2123" s="283"/>
      <c r="J2123" s="445"/>
      <c r="K2123" s="283"/>
      <c r="L2123" s="283"/>
      <c r="M2123" s="283"/>
      <c r="N2123" s="283"/>
      <c r="O2123" s="815"/>
      <c r="P2123" s="164"/>
      <c r="Q2123" s="524">
        <v>500</v>
      </c>
      <c r="R2123" s="524">
        <v>500</v>
      </c>
      <c r="S2123" s="1361"/>
      <c r="T2123" s="1361"/>
      <c r="U2123" s="1361"/>
      <c r="X2123" s="16"/>
      <c r="Y2123" s="16"/>
    </row>
    <row r="2124" spans="1:25" s="42" customFormat="1" ht="15">
      <c r="A2124" s="740"/>
      <c r="B2124" s="1165" t="s">
        <v>1581</v>
      </c>
      <c r="C2124" s="649"/>
      <c r="D2124" s="444"/>
      <c r="E2124" s="784"/>
      <c r="H2124" s="283"/>
      <c r="I2124" s="283"/>
      <c r="J2124" s="445"/>
      <c r="K2124" s="283"/>
      <c r="L2124" s="283"/>
      <c r="M2124" s="283"/>
      <c r="N2124" s="283"/>
      <c r="O2124" s="815"/>
      <c r="P2124" s="164"/>
      <c r="Q2124" s="524">
        <v>500</v>
      </c>
      <c r="R2124" s="524">
        <v>500</v>
      </c>
      <c r="S2124" s="1361"/>
      <c r="T2124" s="1361"/>
      <c r="U2124" s="1361"/>
      <c r="X2124" s="16"/>
      <c r="Y2124" s="16"/>
    </row>
    <row r="2125" spans="1:25" s="42" customFormat="1" ht="15">
      <c r="A2125" s="740"/>
      <c r="B2125" s="1165" t="s">
        <v>1582</v>
      </c>
      <c r="C2125" s="649"/>
      <c r="D2125" s="444"/>
      <c r="E2125" s="784"/>
      <c r="H2125" s="283"/>
      <c r="I2125" s="283"/>
      <c r="J2125" s="445"/>
      <c r="K2125" s="283"/>
      <c r="L2125" s="283"/>
      <c r="M2125" s="283"/>
      <c r="N2125" s="283"/>
      <c r="O2125" s="815"/>
      <c r="P2125" s="164"/>
      <c r="Q2125" s="524">
        <v>500</v>
      </c>
      <c r="R2125" s="524">
        <v>500</v>
      </c>
      <c r="S2125" s="1361"/>
      <c r="T2125" s="1361"/>
      <c r="U2125" s="1361"/>
      <c r="X2125" s="16"/>
      <c r="Y2125" s="16"/>
    </row>
    <row r="2126" spans="1:25" s="42" customFormat="1" ht="15">
      <c r="A2126" s="740"/>
      <c r="B2126" s="1165" t="s">
        <v>1583</v>
      </c>
      <c r="C2126" s="649"/>
      <c r="D2126" s="444"/>
      <c r="E2126" s="784"/>
      <c r="H2126" s="283"/>
      <c r="I2126" s="283"/>
      <c r="J2126" s="445"/>
      <c r="K2126" s="283"/>
      <c r="L2126" s="283"/>
      <c r="M2126" s="283"/>
      <c r="N2126" s="283"/>
      <c r="O2126" s="815"/>
      <c r="P2126" s="164"/>
      <c r="Q2126" s="524">
        <v>500</v>
      </c>
      <c r="R2126" s="524">
        <v>500</v>
      </c>
      <c r="S2126" s="1361"/>
      <c r="T2126" s="1361"/>
      <c r="U2126" s="1361"/>
      <c r="X2126" s="16"/>
      <c r="Y2126" s="16"/>
    </row>
    <row r="2127" spans="1:25" s="42" customFormat="1" ht="15">
      <c r="A2127" s="740"/>
      <c r="B2127" s="1165" t="s">
        <v>1584</v>
      </c>
      <c r="C2127" s="649"/>
      <c r="D2127" s="444"/>
      <c r="E2127" s="784"/>
      <c r="H2127" s="283"/>
      <c r="I2127" s="283"/>
      <c r="J2127" s="445"/>
      <c r="K2127" s="283"/>
      <c r="L2127" s="283"/>
      <c r="M2127" s="283"/>
      <c r="N2127" s="283"/>
      <c r="O2127" s="815"/>
      <c r="P2127" s="164"/>
      <c r="Q2127" s="524">
        <v>500</v>
      </c>
      <c r="R2127" s="524">
        <v>500</v>
      </c>
      <c r="S2127" s="1361"/>
      <c r="T2127" s="1361"/>
      <c r="U2127" s="1361"/>
      <c r="X2127" s="16"/>
      <c r="Y2127" s="16"/>
    </row>
    <row r="2128" spans="1:25" s="42" customFormat="1" ht="15">
      <c r="A2128" s="740"/>
      <c r="B2128" s="1165" t="s">
        <v>1585</v>
      </c>
      <c r="C2128" s="649"/>
      <c r="D2128" s="444"/>
      <c r="E2128" s="784"/>
      <c r="H2128" s="283"/>
      <c r="I2128" s="283"/>
      <c r="J2128" s="445"/>
      <c r="K2128" s="283"/>
      <c r="L2128" s="283"/>
      <c r="M2128" s="283"/>
      <c r="N2128" s="283"/>
      <c r="O2128" s="815"/>
      <c r="P2128" s="164"/>
      <c r="Q2128" s="524">
        <v>500</v>
      </c>
      <c r="R2128" s="524">
        <v>500</v>
      </c>
      <c r="S2128" s="1361"/>
      <c r="T2128" s="1361"/>
      <c r="U2128" s="1361"/>
      <c r="X2128" s="16"/>
      <c r="Y2128" s="16"/>
    </row>
    <row r="2129" spans="1:25" s="42" customFormat="1" ht="15">
      <c r="A2129" s="740"/>
      <c r="B2129" s="1165" t="s">
        <v>1586</v>
      </c>
      <c r="C2129" s="649"/>
      <c r="D2129" s="444"/>
      <c r="E2129" s="784"/>
      <c r="H2129" s="283"/>
      <c r="I2129" s="283"/>
      <c r="J2129" s="445"/>
      <c r="K2129" s="283"/>
      <c r="L2129" s="283"/>
      <c r="M2129" s="283"/>
      <c r="N2129" s="283"/>
      <c r="O2129" s="815"/>
      <c r="P2129" s="164"/>
      <c r="Q2129" s="524">
        <v>500</v>
      </c>
      <c r="R2129" s="524">
        <v>500</v>
      </c>
      <c r="S2129" s="1361"/>
      <c r="T2129" s="1361"/>
      <c r="U2129" s="1361"/>
      <c r="X2129" s="16"/>
      <c r="Y2129" s="16"/>
    </row>
    <row r="2130" spans="1:25" s="42" customFormat="1" ht="15">
      <c r="A2130" s="740"/>
      <c r="B2130" s="1165" t="s">
        <v>1587</v>
      </c>
      <c r="C2130" s="649"/>
      <c r="D2130" s="444"/>
      <c r="E2130" s="784"/>
      <c r="H2130" s="283"/>
      <c r="I2130" s="283"/>
      <c r="J2130" s="445"/>
      <c r="K2130" s="283"/>
      <c r="L2130" s="283"/>
      <c r="M2130" s="283"/>
      <c r="N2130" s="283"/>
      <c r="O2130" s="815"/>
      <c r="P2130" s="164"/>
      <c r="Q2130" s="524">
        <v>500</v>
      </c>
      <c r="R2130" s="524">
        <v>500</v>
      </c>
      <c r="S2130" s="1361"/>
      <c r="T2130" s="1361"/>
      <c r="U2130" s="1361"/>
      <c r="X2130" s="16"/>
      <c r="Y2130" s="16"/>
    </row>
    <row r="2131" spans="1:25" s="42" customFormat="1" ht="15">
      <c r="A2131" s="740"/>
      <c r="B2131" s="1165" t="s">
        <v>1588</v>
      </c>
      <c r="C2131" s="649"/>
      <c r="D2131" s="444"/>
      <c r="E2131" s="784"/>
      <c r="H2131" s="283"/>
      <c r="I2131" s="283"/>
      <c r="J2131" s="445"/>
      <c r="K2131" s="283"/>
      <c r="L2131" s="283"/>
      <c r="M2131" s="283"/>
      <c r="N2131" s="283"/>
      <c r="O2131" s="815"/>
      <c r="P2131" s="164"/>
      <c r="Q2131" s="524">
        <v>500</v>
      </c>
      <c r="R2131" s="524">
        <v>500</v>
      </c>
      <c r="S2131" s="1361"/>
      <c r="T2131" s="1361"/>
      <c r="U2131" s="1361"/>
      <c r="X2131" s="16"/>
      <c r="Y2131" s="16"/>
    </row>
    <row r="2132" spans="1:25" s="42" customFormat="1" ht="15">
      <c r="A2132" s="740"/>
      <c r="B2132" s="1165" t="s">
        <v>1589</v>
      </c>
      <c r="C2132" s="649"/>
      <c r="D2132" s="444"/>
      <c r="E2132" s="784"/>
      <c r="H2132" s="283"/>
      <c r="I2132" s="283"/>
      <c r="J2132" s="445"/>
      <c r="K2132" s="283"/>
      <c r="L2132" s="283"/>
      <c r="M2132" s="283"/>
      <c r="N2132" s="283"/>
      <c r="O2132" s="815"/>
      <c r="P2132" s="164"/>
      <c r="Q2132" s="524">
        <v>500</v>
      </c>
      <c r="R2132" s="524">
        <v>500</v>
      </c>
      <c r="S2132" s="1361"/>
      <c r="T2132" s="1361"/>
      <c r="U2132" s="1361"/>
      <c r="X2132" s="16"/>
      <c r="Y2132" s="16"/>
    </row>
    <row r="2133" spans="1:25" s="42" customFormat="1" ht="15">
      <c r="A2133" s="740"/>
      <c r="B2133" s="1165" t="s">
        <v>1590</v>
      </c>
      <c r="C2133" s="649"/>
      <c r="D2133" s="444"/>
      <c r="E2133" s="784"/>
      <c r="H2133" s="283"/>
      <c r="I2133" s="283"/>
      <c r="J2133" s="445"/>
      <c r="K2133" s="283"/>
      <c r="L2133" s="283"/>
      <c r="M2133" s="283"/>
      <c r="N2133" s="283"/>
      <c r="O2133" s="815"/>
      <c r="P2133" s="164"/>
      <c r="Q2133" s="524">
        <v>500</v>
      </c>
      <c r="R2133" s="524">
        <v>500</v>
      </c>
      <c r="S2133" s="1361"/>
      <c r="T2133" s="1361"/>
      <c r="U2133" s="1361"/>
      <c r="X2133" s="16"/>
      <c r="Y2133" s="16"/>
    </row>
    <row r="2134" spans="1:25" s="42" customFormat="1" ht="15">
      <c r="A2134" s="740"/>
      <c r="B2134" s="446"/>
      <c r="C2134" s="649"/>
      <c r="D2134" s="444"/>
      <c r="E2134" s="647"/>
      <c r="H2134" s="283"/>
      <c r="I2134" s="283"/>
      <c r="J2134" s="445"/>
      <c r="K2134" s="283"/>
      <c r="L2134" s="283"/>
      <c r="M2134" s="283"/>
      <c r="N2134" s="283"/>
      <c r="O2134" s="815"/>
      <c r="P2134" s="164"/>
      <c r="Q2134" s="351"/>
      <c r="R2134" s="351"/>
      <c r="S2134" s="933"/>
      <c r="T2134" s="933"/>
      <c r="U2134" s="933"/>
      <c r="X2134" s="16"/>
      <c r="Y2134" s="16"/>
    </row>
    <row r="2135" spans="1:25" s="42" customFormat="1" ht="15">
      <c r="A2135" s="740"/>
      <c r="B2135" s="446" t="s">
        <v>1591</v>
      </c>
      <c r="C2135" s="649" t="s">
        <v>1593</v>
      </c>
      <c r="D2135" s="444">
        <v>40849</v>
      </c>
      <c r="E2135" s="647"/>
      <c r="F2135" s="42" t="s">
        <v>1592</v>
      </c>
      <c r="H2135" s="283"/>
      <c r="I2135" s="283"/>
      <c r="J2135" s="445"/>
      <c r="K2135" s="283">
        <v>2500</v>
      </c>
      <c r="L2135" s="283"/>
      <c r="M2135" s="283">
        <f t="shared" ref="M2135:M2144" si="329">SUM(K2135:L2135)</f>
        <v>2500</v>
      </c>
      <c r="N2135" s="283"/>
      <c r="O2135" s="815"/>
      <c r="P2135" s="108" t="s">
        <v>103</v>
      </c>
      <c r="Q2135" s="351">
        <v>2500</v>
      </c>
      <c r="R2135" s="351">
        <v>2500</v>
      </c>
      <c r="S2135" s="933"/>
      <c r="T2135" s="933"/>
      <c r="U2135" s="933"/>
      <c r="W2135" s="42" t="s">
        <v>930</v>
      </c>
      <c r="X2135" s="16">
        <f t="shared" ref="X2135:X2144" si="330">SUM(J2135:L2135)</f>
        <v>2500</v>
      </c>
      <c r="Y2135" s="16">
        <f t="shared" ref="Y2135:Y2144" si="331">X2135-M2135</f>
        <v>0</v>
      </c>
    </row>
    <row r="2136" spans="1:25" s="42" customFormat="1" ht="34.5" customHeight="1">
      <c r="A2136" s="740"/>
      <c r="B2136" s="101" t="s">
        <v>1594</v>
      </c>
      <c r="C2136" s="647" t="s">
        <v>1596</v>
      </c>
      <c r="D2136" s="527">
        <v>40857</v>
      </c>
      <c r="E2136" s="647"/>
      <c r="F2136" s="525" t="s">
        <v>1595</v>
      </c>
      <c r="G2136" s="525"/>
      <c r="H2136" s="21"/>
      <c r="I2136" s="21"/>
      <c r="J2136" s="528"/>
      <c r="K2136" s="21">
        <v>20000</v>
      </c>
      <c r="L2136" s="21"/>
      <c r="M2136" s="21">
        <f t="shared" si="329"/>
        <v>20000</v>
      </c>
      <c r="N2136" s="283"/>
      <c r="O2136" s="815"/>
      <c r="P2136" s="108" t="s">
        <v>103</v>
      </c>
      <c r="Q2136" s="93">
        <v>20000</v>
      </c>
      <c r="R2136" s="93">
        <v>20000</v>
      </c>
      <c r="S2136" s="1335" t="s">
        <v>1597</v>
      </c>
      <c r="T2136" s="1335"/>
      <c r="U2136" s="1335"/>
      <c r="W2136" s="525" t="s">
        <v>930</v>
      </c>
      <c r="X2136" s="16">
        <f t="shared" si="330"/>
        <v>20000</v>
      </c>
      <c r="Y2136" s="16">
        <f t="shared" si="331"/>
        <v>0</v>
      </c>
    </row>
    <row r="2137" spans="1:25" s="42" customFormat="1" ht="15">
      <c r="A2137" s="740"/>
      <c r="B2137" s="446" t="s">
        <v>1591</v>
      </c>
      <c r="C2137" s="649" t="s">
        <v>1599</v>
      </c>
      <c r="D2137" s="444">
        <v>40857</v>
      </c>
      <c r="E2137" s="647"/>
      <c r="F2137" s="42" t="s">
        <v>1598</v>
      </c>
      <c r="H2137" s="283"/>
      <c r="I2137" s="283"/>
      <c r="J2137" s="445"/>
      <c r="K2137" s="283">
        <v>20000</v>
      </c>
      <c r="L2137" s="283"/>
      <c r="M2137" s="283">
        <f t="shared" si="329"/>
        <v>20000</v>
      </c>
      <c r="N2137" s="283"/>
      <c r="O2137" s="815"/>
      <c r="P2137" s="108" t="s">
        <v>103</v>
      </c>
      <c r="Q2137" s="351">
        <v>20000</v>
      </c>
      <c r="R2137" s="351">
        <v>20000</v>
      </c>
      <c r="S2137" s="933"/>
      <c r="T2137" s="933"/>
      <c r="U2137" s="933"/>
      <c r="W2137" s="42" t="s">
        <v>930</v>
      </c>
      <c r="X2137" s="16">
        <f t="shared" si="330"/>
        <v>20000</v>
      </c>
      <c r="Y2137" s="16">
        <f t="shared" si="331"/>
        <v>0</v>
      </c>
    </row>
    <row r="2138" spans="1:25" s="525" customFormat="1" ht="34.5" customHeight="1">
      <c r="B2138" s="101" t="s">
        <v>1600</v>
      </c>
      <c r="C2138" s="647" t="s">
        <v>1602</v>
      </c>
      <c r="D2138" s="527">
        <v>40857</v>
      </c>
      <c r="E2138" s="647"/>
      <c r="F2138" s="525" t="s">
        <v>1601</v>
      </c>
      <c r="H2138" s="21"/>
      <c r="I2138" s="21"/>
      <c r="J2138" s="528"/>
      <c r="K2138" s="21">
        <v>20000</v>
      </c>
      <c r="L2138" s="21"/>
      <c r="M2138" s="21">
        <f t="shared" si="329"/>
        <v>20000</v>
      </c>
      <c r="N2138" s="21"/>
      <c r="O2138" s="58"/>
      <c r="P2138" s="108" t="s">
        <v>103</v>
      </c>
      <c r="Q2138" s="93">
        <v>20000</v>
      </c>
      <c r="R2138" s="93">
        <v>20000</v>
      </c>
      <c r="S2138" s="1362" t="s">
        <v>1603</v>
      </c>
      <c r="T2138" s="1362"/>
      <c r="U2138" s="1362"/>
      <c r="W2138" s="525" t="s">
        <v>930</v>
      </c>
      <c r="X2138" s="14">
        <f t="shared" si="330"/>
        <v>20000</v>
      </c>
      <c r="Y2138" s="14">
        <f t="shared" si="331"/>
        <v>0</v>
      </c>
    </row>
    <row r="2139" spans="1:25" s="525" customFormat="1" ht="41.25" customHeight="1">
      <c r="B2139" s="101" t="s">
        <v>1594</v>
      </c>
      <c r="C2139" s="647" t="s">
        <v>1605</v>
      </c>
      <c r="D2139" s="527">
        <v>40857</v>
      </c>
      <c r="E2139" s="647"/>
      <c r="F2139" s="525" t="s">
        <v>1604</v>
      </c>
      <c r="H2139" s="21"/>
      <c r="I2139" s="21"/>
      <c r="J2139" s="528"/>
      <c r="K2139" s="21">
        <v>20000</v>
      </c>
      <c r="L2139" s="21"/>
      <c r="M2139" s="21">
        <f t="shared" si="329"/>
        <v>20000</v>
      </c>
      <c r="N2139" s="21"/>
      <c r="O2139" s="58"/>
      <c r="P2139" s="108" t="s">
        <v>103</v>
      </c>
      <c r="Q2139" s="93">
        <v>20000</v>
      </c>
      <c r="R2139" s="93">
        <v>20000</v>
      </c>
      <c r="S2139" s="1326" t="s">
        <v>1606</v>
      </c>
      <c r="T2139" s="1326"/>
      <c r="U2139" s="1326"/>
      <c r="W2139" s="525" t="s">
        <v>930</v>
      </c>
      <c r="X2139" s="14">
        <f t="shared" si="330"/>
        <v>20000</v>
      </c>
      <c r="Y2139" s="14">
        <f t="shared" si="331"/>
        <v>0</v>
      </c>
    </row>
    <row r="2140" spans="1:25" s="42" customFormat="1" ht="15">
      <c r="A2140" s="740"/>
      <c r="B2140" s="446" t="s">
        <v>1607</v>
      </c>
      <c r="C2140" s="649" t="s">
        <v>1609</v>
      </c>
      <c r="D2140" s="444">
        <v>40857</v>
      </c>
      <c r="E2140" s="647"/>
      <c r="F2140" s="42" t="s">
        <v>1608</v>
      </c>
      <c r="H2140" s="283"/>
      <c r="I2140" s="283"/>
      <c r="J2140" s="445"/>
      <c r="K2140" s="283">
        <v>20000</v>
      </c>
      <c r="L2140" s="283"/>
      <c r="M2140" s="283">
        <f t="shared" si="329"/>
        <v>20000</v>
      </c>
      <c r="N2140" s="283"/>
      <c r="O2140" s="815"/>
      <c r="P2140" s="108" t="s">
        <v>103</v>
      </c>
      <c r="Q2140" s="351">
        <v>19973.990000000002</v>
      </c>
      <c r="R2140" s="351">
        <v>19973.990000000002</v>
      </c>
      <c r="S2140" s="933"/>
      <c r="T2140" s="933"/>
      <c r="U2140" s="933"/>
      <c r="W2140" s="42" t="s">
        <v>930</v>
      </c>
      <c r="X2140" s="16">
        <f t="shared" si="330"/>
        <v>20000</v>
      </c>
      <c r="Y2140" s="16">
        <f t="shared" si="331"/>
        <v>0</v>
      </c>
    </row>
    <row r="2141" spans="1:25" s="525" customFormat="1" ht="15">
      <c r="B2141" s="101" t="s">
        <v>1594</v>
      </c>
      <c r="C2141" s="647" t="s">
        <v>1611</v>
      </c>
      <c r="D2141" s="527">
        <v>40857</v>
      </c>
      <c r="E2141" s="647"/>
      <c r="F2141" s="525" t="s">
        <v>1610</v>
      </c>
      <c r="H2141" s="21"/>
      <c r="I2141" s="21"/>
      <c r="J2141" s="528"/>
      <c r="K2141" s="21">
        <v>20000</v>
      </c>
      <c r="L2141" s="21"/>
      <c r="M2141" s="21">
        <f t="shared" si="329"/>
        <v>20000</v>
      </c>
      <c r="N2141" s="21"/>
      <c r="O2141" s="58"/>
      <c r="P2141" s="108" t="s">
        <v>103</v>
      </c>
      <c r="Q2141" s="93">
        <v>20000</v>
      </c>
      <c r="R2141" s="93">
        <v>20000</v>
      </c>
      <c r="S2141" s="1363" t="s">
        <v>1612</v>
      </c>
      <c r="T2141" s="1363"/>
      <c r="U2141" s="1363"/>
      <c r="W2141" s="525" t="s">
        <v>930</v>
      </c>
      <c r="X2141" s="14">
        <f t="shared" si="330"/>
        <v>20000</v>
      </c>
      <c r="Y2141" s="14">
        <f t="shared" si="331"/>
        <v>0</v>
      </c>
    </row>
    <row r="2142" spans="1:25" s="525" customFormat="1" ht="15">
      <c r="B2142" s="101" t="s">
        <v>1594</v>
      </c>
      <c r="C2142" s="647" t="s">
        <v>1614</v>
      </c>
      <c r="D2142" s="527">
        <v>40857</v>
      </c>
      <c r="E2142" s="647"/>
      <c r="F2142" s="525" t="s">
        <v>1613</v>
      </c>
      <c r="H2142" s="21"/>
      <c r="I2142" s="21"/>
      <c r="J2142" s="528"/>
      <c r="K2142" s="21">
        <v>20000</v>
      </c>
      <c r="L2142" s="21"/>
      <c r="M2142" s="21">
        <f t="shared" si="329"/>
        <v>20000</v>
      </c>
      <c r="N2142" s="21"/>
      <c r="O2142" s="58"/>
      <c r="P2142" s="108" t="s">
        <v>103</v>
      </c>
      <c r="Q2142" s="93">
        <v>20000</v>
      </c>
      <c r="R2142" s="93">
        <v>20000</v>
      </c>
      <c r="S2142" s="1324" t="s">
        <v>1615</v>
      </c>
      <c r="T2142" s="1324"/>
      <c r="U2142" s="1324"/>
      <c r="W2142" s="525" t="s">
        <v>930</v>
      </c>
      <c r="X2142" s="14">
        <f t="shared" si="330"/>
        <v>20000</v>
      </c>
      <c r="Y2142" s="14">
        <f t="shared" si="331"/>
        <v>0</v>
      </c>
    </row>
    <row r="2143" spans="1:25" s="42" customFormat="1" ht="35.25" customHeight="1">
      <c r="A2143" s="740"/>
      <c r="B2143" s="101" t="s">
        <v>1616</v>
      </c>
      <c r="C2143" s="647" t="s">
        <v>1618</v>
      </c>
      <c r="D2143" s="527">
        <v>40857</v>
      </c>
      <c r="E2143" s="647"/>
      <c r="F2143" s="525" t="s">
        <v>1617</v>
      </c>
      <c r="G2143" s="525"/>
      <c r="H2143" s="21"/>
      <c r="I2143" s="21"/>
      <c r="J2143" s="528"/>
      <c r="K2143" s="21">
        <v>20000</v>
      </c>
      <c r="L2143" s="21"/>
      <c r="M2143" s="21">
        <f t="shared" si="329"/>
        <v>20000</v>
      </c>
      <c r="N2143" s="21"/>
      <c r="O2143" s="58"/>
      <c r="P2143" s="108" t="s">
        <v>103</v>
      </c>
      <c r="Q2143" s="93">
        <v>20000</v>
      </c>
      <c r="R2143" s="93">
        <v>19886</v>
      </c>
      <c r="S2143" s="1326" t="s">
        <v>4742</v>
      </c>
      <c r="T2143" s="1326"/>
      <c r="U2143" s="1326"/>
      <c r="V2143" s="525"/>
      <c r="W2143" s="525" t="s">
        <v>930</v>
      </c>
      <c r="X2143" s="16">
        <f t="shared" si="330"/>
        <v>20000</v>
      </c>
      <c r="Y2143" s="16">
        <f t="shared" si="331"/>
        <v>0</v>
      </c>
    </row>
    <row r="2144" spans="1:25" s="42" customFormat="1" ht="15">
      <c r="A2144" s="740"/>
      <c r="B2144" s="446" t="s">
        <v>1561</v>
      </c>
      <c r="C2144" s="649" t="s">
        <v>1619</v>
      </c>
      <c r="D2144" s="444">
        <v>40857</v>
      </c>
      <c r="E2144" s="647"/>
      <c r="F2144" s="740" t="s">
        <v>414</v>
      </c>
      <c r="H2144" s="283"/>
      <c r="I2144" s="283"/>
      <c r="J2144" s="445"/>
      <c r="K2144" s="283">
        <v>20000</v>
      </c>
      <c r="L2144" s="283"/>
      <c r="M2144" s="283">
        <f t="shared" si="329"/>
        <v>20000</v>
      </c>
      <c r="N2144" s="283"/>
      <c r="O2144" s="815"/>
      <c r="P2144" s="108" t="s">
        <v>103</v>
      </c>
      <c r="Q2144" s="522">
        <f>SUM(Q2145:Q2150)</f>
        <v>20000</v>
      </c>
      <c r="R2144" s="522">
        <f>SUM(R2145:R2150)</f>
        <v>20000</v>
      </c>
      <c r="S2144" s="933"/>
      <c r="T2144" s="933"/>
      <c r="U2144" s="933"/>
      <c r="W2144" s="42" t="s">
        <v>930</v>
      </c>
      <c r="X2144" s="16">
        <f t="shared" si="330"/>
        <v>20000</v>
      </c>
      <c r="Y2144" s="16">
        <f t="shared" si="331"/>
        <v>0</v>
      </c>
    </row>
    <row r="2145" spans="1:25" s="42" customFormat="1" ht="15">
      <c r="A2145" s="740"/>
      <c r="C2145" s="649"/>
      <c r="D2145" s="444"/>
      <c r="E2145" s="108"/>
      <c r="F2145" s="740"/>
      <c r="H2145" s="283"/>
      <c r="I2145" s="283"/>
      <c r="J2145" s="445"/>
      <c r="K2145" s="283"/>
      <c r="L2145" s="283"/>
      <c r="M2145" s="283"/>
      <c r="N2145" s="283"/>
      <c r="O2145" s="815"/>
      <c r="P2145" s="164"/>
      <c r="Q2145" s="529">
        <v>15000</v>
      </c>
      <c r="R2145" s="529">
        <v>15000</v>
      </c>
      <c r="S2145" s="1364" t="s">
        <v>1620</v>
      </c>
      <c r="T2145" s="1364"/>
      <c r="U2145" s="1364"/>
      <c r="X2145" s="16"/>
      <c r="Y2145" s="16"/>
    </row>
    <row r="2146" spans="1:25" s="42" customFormat="1" ht="15">
      <c r="A2146" s="740"/>
      <c r="C2146" s="649"/>
      <c r="D2146" s="444"/>
      <c r="E2146" s="108"/>
      <c r="F2146" s="740"/>
      <c r="H2146" s="283"/>
      <c r="I2146" s="283"/>
      <c r="J2146" s="445"/>
      <c r="K2146" s="283"/>
      <c r="L2146" s="283"/>
      <c r="M2146" s="283"/>
      <c r="N2146" s="283"/>
      <c r="O2146" s="815"/>
      <c r="P2146" s="164"/>
      <c r="Q2146" s="529">
        <v>1000</v>
      </c>
      <c r="R2146" s="529">
        <v>1000</v>
      </c>
      <c r="S2146" s="1364" t="s">
        <v>1621</v>
      </c>
      <c r="T2146" s="1364"/>
      <c r="U2146" s="1364"/>
      <c r="X2146" s="16"/>
      <c r="Y2146" s="16"/>
    </row>
    <row r="2147" spans="1:25" s="42" customFormat="1" ht="15">
      <c r="A2147" s="740"/>
      <c r="C2147" s="649"/>
      <c r="D2147" s="444"/>
      <c r="E2147" s="108"/>
      <c r="F2147" s="740"/>
      <c r="H2147" s="283"/>
      <c r="I2147" s="283"/>
      <c r="J2147" s="445"/>
      <c r="K2147" s="283"/>
      <c r="L2147" s="283"/>
      <c r="M2147" s="283"/>
      <c r="N2147" s="283"/>
      <c r="O2147" s="815"/>
      <c r="P2147" s="164"/>
      <c r="Q2147" s="529">
        <v>1000</v>
      </c>
      <c r="R2147" s="529">
        <v>1000</v>
      </c>
      <c r="S2147" s="1364" t="s">
        <v>1622</v>
      </c>
      <c r="T2147" s="1364"/>
      <c r="U2147" s="1364"/>
      <c r="X2147" s="16"/>
      <c r="Y2147" s="16"/>
    </row>
    <row r="2148" spans="1:25" s="42" customFormat="1" ht="15">
      <c r="A2148" s="740"/>
      <c r="C2148" s="649"/>
      <c r="D2148" s="444"/>
      <c r="E2148" s="108"/>
      <c r="F2148" s="740"/>
      <c r="H2148" s="283"/>
      <c r="I2148" s="283"/>
      <c r="J2148" s="445"/>
      <c r="K2148" s="283"/>
      <c r="L2148" s="283"/>
      <c r="M2148" s="283"/>
      <c r="N2148" s="283"/>
      <c r="O2148" s="815"/>
      <c r="P2148" s="164"/>
      <c r="Q2148" s="529">
        <v>1000</v>
      </c>
      <c r="R2148" s="529">
        <v>1000</v>
      </c>
      <c r="S2148" s="1364" t="s">
        <v>1623</v>
      </c>
      <c r="T2148" s="1364"/>
      <c r="U2148" s="1364"/>
      <c r="X2148" s="16"/>
      <c r="Y2148" s="16"/>
    </row>
    <row r="2149" spans="1:25" s="42" customFormat="1" ht="15">
      <c r="A2149" s="740"/>
      <c r="C2149" s="649"/>
      <c r="D2149" s="444"/>
      <c r="E2149" s="108"/>
      <c r="F2149" s="740"/>
      <c r="H2149" s="283"/>
      <c r="I2149" s="283"/>
      <c r="J2149" s="445"/>
      <c r="K2149" s="283"/>
      <c r="L2149" s="283"/>
      <c r="M2149" s="283"/>
      <c r="N2149" s="283"/>
      <c r="O2149" s="815"/>
      <c r="P2149" s="164"/>
      <c r="Q2149" s="529">
        <v>1000</v>
      </c>
      <c r="R2149" s="529">
        <v>1000</v>
      </c>
      <c r="S2149" s="1364" t="s">
        <v>1624</v>
      </c>
      <c r="T2149" s="1364"/>
      <c r="U2149" s="1364"/>
      <c r="X2149" s="16"/>
      <c r="Y2149" s="16"/>
    </row>
    <row r="2150" spans="1:25" s="42" customFormat="1" ht="15">
      <c r="A2150" s="740"/>
      <c r="C2150" s="649"/>
      <c r="D2150" s="444"/>
      <c r="E2150" s="108"/>
      <c r="F2150" s="740"/>
      <c r="H2150" s="283"/>
      <c r="I2150" s="283"/>
      <c r="J2150" s="445"/>
      <c r="K2150" s="283"/>
      <c r="L2150" s="283"/>
      <c r="M2150" s="283"/>
      <c r="N2150" s="283"/>
      <c r="O2150" s="815"/>
      <c r="P2150" s="164"/>
      <c r="Q2150" s="529">
        <v>1000</v>
      </c>
      <c r="R2150" s="529">
        <v>1000</v>
      </c>
      <c r="S2150" s="1364" t="s">
        <v>1625</v>
      </c>
      <c r="T2150" s="1364"/>
      <c r="U2150" s="1364"/>
      <c r="X2150" s="16"/>
      <c r="Y2150" s="16"/>
    </row>
    <row r="2151" spans="1:25" s="42" customFormat="1" ht="15">
      <c r="A2151" s="740"/>
      <c r="B2151" s="446"/>
      <c r="C2151" s="649"/>
      <c r="D2151" s="444"/>
      <c r="E2151" s="647"/>
      <c r="F2151" s="740"/>
      <c r="H2151" s="283"/>
      <c r="I2151" s="283"/>
      <c r="J2151" s="445"/>
      <c r="K2151" s="283"/>
      <c r="L2151" s="283"/>
      <c r="M2151" s="283"/>
      <c r="N2151" s="283"/>
      <c r="O2151" s="815"/>
      <c r="P2151" s="164"/>
      <c r="Q2151" s="351"/>
      <c r="R2151" s="351"/>
      <c r="S2151" s="933"/>
      <c r="T2151" s="933"/>
      <c r="U2151" s="933"/>
      <c r="X2151" s="16"/>
      <c r="Y2151" s="16"/>
    </row>
    <row r="2152" spans="1:25" s="42" customFormat="1" ht="15">
      <c r="A2152" s="740"/>
      <c r="B2152" s="446" t="s">
        <v>1591</v>
      </c>
      <c r="C2152" s="649" t="s">
        <v>1627</v>
      </c>
      <c r="D2152" s="444">
        <v>40858</v>
      </c>
      <c r="E2152" s="647"/>
      <c r="F2152" s="740" t="s">
        <v>1626</v>
      </c>
      <c r="H2152" s="283"/>
      <c r="I2152" s="283"/>
      <c r="J2152" s="445"/>
      <c r="K2152" s="283">
        <v>20000</v>
      </c>
      <c r="L2152" s="283"/>
      <c r="M2152" s="283">
        <f t="shared" ref="M2152:M2166" si="332">SUM(K2152:L2152)</f>
        <v>20000</v>
      </c>
      <c r="N2152" s="283"/>
      <c r="O2152" s="815"/>
      <c r="P2152" s="108" t="s">
        <v>103</v>
      </c>
      <c r="Q2152" s="351">
        <v>20000</v>
      </c>
      <c r="R2152" s="351">
        <v>20000</v>
      </c>
      <c r="S2152" s="933"/>
      <c r="T2152" s="933"/>
      <c r="U2152" s="933"/>
      <c r="W2152" s="42" t="s">
        <v>930</v>
      </c>
      <c r="X2152" s="16">
        <f t="shared" ref="X2152:X2156" si="333">SUM(J2152:L2152)</f>
        <v>20000</v>
      </c>
      <c r="Y2152" s="16">
        <f t="shared" ref="Y2152:Y2166" si="334">X2152-M2152</f>
        <v>0</v>
      </c>
    </row>
    <row r="2153" spans="1:25" s="42" customFormat="1" ht="15">
      <c r="A2153" s="740"/>
      <c r="B2153" s="446" t="s">
        <v>1628</v>
      </c>
      <c r="C2153" s="649" t="s">
        <v>1630</v>
      </c>
      <c r="D2153" s="444">
        <v>40857</v>
      </c>
      <c r="E2153" s="647"/>
      <c r="F2153" s="740" t="s">
        <v>1629</v>
      </c>
      <c r="H2153" s="283"/>
      <c r="I2153" s="283"/>
      <c r="J2153" s="445"/>
      <c r="K2153" s="283">
        <v>20000</v>
      </c>
      <c r="L2153" s="283"/>
      <c r="M2153" s="283">
        <f t="shared" si="332"/>
        <v>20000</v>
      </c>
      <c r="N2153" s="283"/>
      <c r="O2153" s="815"/>
      <c r="P2153" s="108" t="s">
        <v>103</v>
      </c>
      <c r="Q2153" s="351">
        <v>20000</v>
      </c>
      <c r="R2153" s="351">
        <v>20000</v>
      </c>
      <c r="S2153" s="933"/>
      <c r="T2153" s="933"/>
      <c r="U2153" s="933"/>
      <c r="W2153" s="42" t="s">
        <v>930</v>
      </c>
      <c r="X2153" s="16">
        <f t="shared" si="333"/>
        <v>20000</v>
      </c>
      <c r="Y2153" s="16">
        <f t="shared" si="334"/>
        <v>0</v>
      </c>
    </row>
    <row r="2154" spans="1:25" s="42" customFormat="1" ht="15">
      <c r="A2154" s="740"/>
      <c r="B2154" s="446" t="s">
        <v>1628</v>
      </c>
      <c r="C2154" s="649" t="s">
        <v>1632</v>
      </c>
      <c r="D2154" s="444">
        <v>40857</v>
      </c>
      <c r="E2154" s="647"/>
      <c r="F2154" s="740" t="s">
        <v>1631</v>
      </c>
      <c r="H2154" s="283"/>
      <c r="I2154" s="283"/>
      <c r="J2154" s="445"/>
      <c r="K2154" s="283">
        <v>20000</v>
      </c>
      <c r="L2154" s="283"/>
      <c r="M2154" s="283">
        <f t="shared" si="332"/>
        <v>20000</v>
      </c>
      <c r="N2154" s="283"/>
      <c r="O2154" s="815"/>
      <c r="P2154" s="108" t="s">
        <v>103</v>
      </c>
      <c r="Q2154" s="351">
        <v>20000</v>
      </c>
      <c r="R2154" s="351">
        <v>20000</v>
      </c>
      <c r="S2154" s="933"/>
      <c r="T2154" s="933"/>
      <c r="U2154" s="933"/>
      <c r="W2154" s="42" t="s">
        <v>930</v>
      </c>
      <c r="X2154" s="16">
        <f t="shared" si="333"/>
        <v>20000</v>
      </c>
      <c r="Y2154" s="16">
        <f t="shared" si="334"/>
        <v>0</v>
      </c>
    </row>
    <row r="2155" spans="1:25" s="42" customFormat="1" ht="15">
      <c r="A2155" s="740"/>
      <c r="B2155" s="446" t="s">
        <v>1594</v>
      </c>
      <c r="C2155" s="649" t="s">
        <v>1634</v>
      </c>
      <c r="D2155" s="444">
        <v>40857</v>
      </c>
      <c r="E2155" s="647"/>
      <c r="F2155" s="740" t="s">
        <v>1633</v>
      </c>
      <c r="H2155" s="283"/>
      <c r="I2155" s="283"/>
      <c r="J2155" s="445"/>
      <c r="K2155" s="283">
        <v>20000</v>
      </c>
      <c r="L2155" s="283"/>
      <c r="M2155" s="283">
        <f t="shared" si="332"/>
        <v>20000</v>
      </c>
      <c r="N2155" s="283"/>
      <c r="O2155" s="815"/>
      <c r="P2155" s="108" t="s">
        <v>103</v>
      </c>
      <c r="Q2155" s="351">
        <v>20000</v>
      </c>
      <c r="R2155" s="351">
        <v>20000</v>
      </c>
      <c r="S2155" s="933"/>
      <c r="T2155" s="933"/>
      <c r="U2155" s="933"/>
      <c r="W2155" s="42" t="s">
        <v>930</v>
      </c>
      <c r="X2155" s="16">
        <f t="shared" si="333"/>
        <v>20000</v>
      </c>
      <c r="Y2155" s="16">
        <f t="shared" si="334"/>
        <v>0</v>
      </c>
    </row>
    <row r="2156" spans="1:25" s="42" customFormat="1" ht="15">
      <c r="A2156" s="740"/>
      <c r="B2156" s="446" t="s">
        <v>1628</v>
      </c>
      <c r="C2156" s="649" t="s">
        <v>1636</v>
      </c>
      <c r="D2156" s="444">
        <v>40857</v>
      </c>
      <c r="E2156" s="647"/>
      <c r="F2156" s="740" t="s">
        <v>1635</v>
      </c>
      <c r="H2156" s="283"/>
      <c r="I2156" s="283"/>
      <c r="J2156" s="445"/>
      <c r="K2156" s="283">
        <v>20000</v>
      </c>
      <c r="L2156" s="283"/>
      <c r="M2156" s="283">
        <f t="shared" si="332"/>
        <v>20000</v>
      </c>
      <c r="N2156" s="283"/>
      <c r="O2156" s="815"/>
      <c r="P2156" s="108" t="s">
        <v>103</v>
      </c>
      <c r="Q2156" s="351">
        <v>20000</v>
      </c>
      <c r="R2156" s="351">
        <v>20000</v>
      </c>
      <c r="S2156" s="933"/>
      <c r="T2156" s="933"/>
      <c r="U2156" s="933"/>
      <c r="W2156" s="42" t="s">
        <v>930</v>
      </c>
      <c r="X2156" s="16">
        <f t="shared" si="333"/>
        <v>20000</v>
      </c>
      <c r="Y2156" s="16">
        <f t="shared" si="334"/>
        <v>0</v>
      </c>
    </row>
    <row r="2157" spans="1:25" s="42" customFormat="1" ht="15">
      <c r="A2157" s="740"/>
      <c r="B2157" s="446" t="s">
        <v>1616</v>
      </c>
      <c r="C2157" s="649" t="s">
        <v>1638</v>
      </c>
      <c r="D2157" s="444">
        <v>40857</v>
      </c>
      <c r="E2157" s="647"/>
      <c r="F2157" s="740" t="s">
        <v>1637</v>
      </c>
      <c r="H2157" s="283"/>
      <c r="I2157" s="283"/>
      <c r="J2157" s="445"/>
      <c r="K2157" s="283">
        <v>20000</v>
      </c>
      <c r="L2157" s="283"/>
      <c r="M2157" s="283">
        <f t="shared" si="332"/>
        <v>20000</v>
      </c>
      <c r="N2157" s="283"/>
      <c r="O2157" s="815"/>
      <c r="P2157" s="108" t="s">
        <v>103</v>
      </c>
      <c r="Q2157" s="351">
        <v>20000</v>
      </c>
      <c r="R2157" s="351">
        <v>20000</v>
      </c>
      <c r="S2157" s="933"/>
      <c r="T2157" s="933"/>
      <c r="U2157" s="933"/>
      <c r="W2157" s="42" t="s">
        <v>930</v>
      </c>
      <c r="X2157" s="16">
        <f t="shared" ref="X2157:X2166" si="335">SUM(J2157:L2157)</f>
        <v>20000</v>
      </c>
      <c r="Y2157" s="16">
        <f t="shared" si="334"/>
        <v>0</v>
      </c>
    </row>
    <row r="2158" spans="1:25" s="42" customFormat="1" ht="15">
      <c r="A2158" s="740"/>
      <c r="B2158" s="446" t="s">
        <v>1639</v>
      </c>
      <c r="C2158" s="649" t="s">
        <v>1641</v>
      </c>
      <c r="D2158" s="444">
        <v>40857</v>
      </c>
      <c r="E2158" s="647"/>
      <c r="F2158" s="740" t="s">
        <v>1640</v>
      </c>
      <c r="H2158" s="283"/>
      <c r="I2158" s="283"/>
      <c r="J2158" s="445"/>
      <c r="K2158" s="283">
        <v>20000</v>
      </c>
      <c r="L2158" s="283"/>
      <c r="M2158" s="283">
        <f t="shared" si="332"/>
        <v>20000</v>
      </c>
      <c r="N2158" s="283"/>
      <c r="O2158" s="815"/>
      <c r="P2158" s="108" t="s">
        <v>103</v>
      </c>
      <c r="Q2158" s="351">
        <v>20000</v>
      </c>
      <c r="R2158" s="351">
        <v>20000</v>
      </c>
      <c r="S2158" s="933"/>
      <c r="T2158" s="933"/>
      <c r="U2158" s="933"/>
      <c r="W2158" s="42" t="s">
        <v>930</v>
      </c>
      <c r="X2158" s="16">
        <f t="shared" si="335"/>
        <v>20000</v>
      </c>
      <c r="Y2158" s="16">
        <f t="shared" si="334"/>
        <v>0</v>
      </c>
    </row>
    <row r="2159" spans="1:25" s="42" customFormat="1" ht="36" customHeight="1">
      <c r="A2159" s="740"/>
      <c r="B2159" s="101" t="s">
        <v>1642</v>
      </c>
      <c r="C2159" s="647" t="s">
        <v>1644</v>
      </c>
      <c r="D2159" s="527">
        <v>40857</v>
      </c>
      <c r="E2159" s="647"/>
      <c r="F2159" s="525" t="s">
        <v>1643</v>
      </c>
      <c r="G2159" s="525"/>
      <c r="H2159" s="21"/>
      <c r="I2159" s="21"/>
      <c r="J2159" s="528"/>
      <c r="K2159" s="21">
        <v>19500</v>
      </c>
      <c r="L2159" s="21"/>
      <c r="M2159" s="21">
        <f t="shared" si="332"/>
        <v>19500</v>
      </c>
      <c r="N2159" s="21"/>
      <c r="O2159" s="58"/>
      <c r="P2159" s="108" t="s">
        <v>103</v>
      </c>
      <c r="Q2159" s="93">
        <v>19500</v>
      </c>
      <c r="R2159" s="93">
        <v>19500</v>
      </c>
      <c r="S2159" s="1346" t="s">
        <v>4653</v>
      </c>
      <c r="T2159" s="1346"/>
      <c r="U2159" s="1346"/>
      <c r="W2159" s="525" t="s">
        <v>930</v>
      </c>
      <c r="X2159" s="16">
        <f t="shared" si="335"/>
        <v>19500</v>
      </c>
      <c r="Y2159" s="16">
        <f t="shared" si="334"/>
        <v>0</v>
      </c>
    </row>
    <row r="2160" spans="1:25" s="525" customFormat="1" ht="220.5" customHeight="1">
      <c r="B2160" s="101" t="s">
        <v>1600</v>
      </c>
      <c r="C2160" s="647" t="s">
        <v>1646</v>
      </c>
      <c r="D2160" s="527">
        <v>40857</v>
      </c>
      <c r="E2160" s="647"/>
      <c r="F2160" s="525" t="s">
        <v>1645</v>
      </c>
      <c r="H2160" s="21"/>
      <c r="I2160" s="21"/>
      <c r="J2160" s="528"/>
      <c r="K2160" s="21">
        <v>17000</v>
      </c>
      <c r="L2160" s="21"/>
      <c r="M2160" s="21">
        <f t="shared" si="332"/>
        <v>17000</v>
      </c>
      <c r="N2160" s="21"/>
      <c r="O2160" s="58"/>
      <c r="P2160" s="108" t="s">
        <v>103</v>
      </c>
      <c r="Q2160" s="93">
        <v>17000</v>
      </c>
      <c r="R2160" s="93">
        <v>17000</v>
      </c>
      <c r="S2160" s="1365" t="s">
        <v>1647</v>
      </c>
      <c r="T2160" s="1365"/>
      <c r="U2160" s="1365"/>
      <c r="W2160" s="525" t="s">
        <v>930</v>
      </c>
      <c r="X2160" s="14">
        <f t="shared" si="335"/>
        <v>17000</v>
      </c>
      <c r="Y2160" s="14">
        <f t="shared" si="334"/>
        <v>0</v>
      </c>
    </row>
    <row r="2161" spans="1:25" s="42" customFormat="1" ht="15">
      <c r="A2161" s="740"/>
      <c r="B2161" s="446" t="s">
        <v>1648</v>
      </c>
      <c r="C2161" s="649" t="s">
        <v>1650</v>
      </c>
      <c r="D2161" s="444">
        <v>40857</v>
      </c>
      <c r="E2161" s="647"/>
      <c r="F2161" s="42" t="s">
        <v>1649</v>
      </c>
      <c r="H2161" s="283"/>
      <c r="I2161" s="283"/>
      <c r="J2161" s="445"/>
      <c r="K2161" s="283">
        <v>20000</v>
      </c>
      <c r="L2161" s="283"/>
      <c r="M2161" s="283">
        <f t="shared" si="332"/>
        <v>20000</v>
      </c>
      <c r="N2161" s="283"/>
      <c r="O2161" s="815"/>
      <c r="P2161" s="108" t="s">
        <v>103</v>
      </c>
      <c r="Q2161" s="351">
        <v>20000</v>
      </c>
      <c r="R2161" s="351">
        <v>20000</v>
      </c>
      <c r="S2161" s="876">
        <v>18574</v>
      </c>
      <c r="T2161" s="933"/>
      <c r="U2161" s="933"/>
      <c r="W2161" s="42" t="s">
        <v>930</v>
      </c>
      <c r="X2161" s="16">
        <f t="shared" si="335"/>
        <v>20000</v>
      </c>
      <c r="Y2161" s="16">
        <f t="shared" si="334"/>
        <v>0</v>
      </c>
    </row>
    <row r="2162" spans="1:25" s="42" customFormat="1" ht="15">
      <c r="A2162" s="740"/>
      <c r="B2162" s="446" t="s">
        <v>1651</v>
      </c>
      <c r="C2162" s="649" t="s">
        <v>1652</v>
      </c>
      <c r="D2162" s="444">
        <v>40871</v>
      </c>
      <c r="E2162" s="647"/>
      <c r="F2162" s="42" t="s">
        <v>353</v>
      </c>
      <c r="H2162" s="283"/>
      <c r="I2162" s="283"/>
      <c r="J2162" s="445"/>
      <c r="K2162" s="283">
        <v>20000</v>
      </c>
      <c r="L2162" s="283"/>
      <c r="M2162" s="283">
        <f t="shared" si="332"/>
        <v>20000</v>
      </c>
      <c r="N2162" s="283"/>
      <c r="O2162" s="815"/>
      <c r="P2162" s="108" t="s">
        <v>103</v>
      </c>
      <c r="Q2162" s="351">
        <v>20000</v>
      </c>
      <c r="R2162" s="351">
        <v>20000</v>
      </c>
      <c r="S2162" s="933"/>
      <c r="T2162" s="933"/>
      <c r="U2162" s="933"/>
      <c r="W2162" s="42" t="s">
        <v>930</v>
      </c>
      <c r="X2162" s="16">
        <f t="shared" si="335"/>
        <v>20000</v>
      </c>
      <c r="Y2162" s="16">
        <f t="shared" si="334"/>
        <v>0</v>
      </c>
    </row>
    <row r="2163" spans="1:25" s="42" customFormat="1" ht="15">
      <c r="A2163" s="740"/>
      <c r="B2163" s="446" t="s">
        <v>1651</v>
      </c>
      <c r="C2163" s="649" t="s">
        <v>1654</v>
      </c>
      <c r="D2163" s="444">
        <v>40849</v>
      </c>
      <c r="E2163" s="647"/>
      <c r="F2163" s="42" t="s">
        <v>1653</v>
      </c>
      <c r="H2163" s="283"/>
      <c r="I2163" s="283"/>
      <c r="J2163" s="445"/>
      <c r="K2163" s="283">
        <v>5000</v>
      </c>
      <c r="L2163" s="283"/>
      <c r="M2163" s="283">
        <f t="shared" si="332"/>
        <v>5000</v>
      </c>
      <c r="N2163" s="283"/>
      <c r="O2163" s="815"/>
      <c r="P2163" s="108" t="s">
        <v>103</v>
      </c>
      <c r="Q2163" s="351">
        <v>5000</v>
      </c>
      <c r="R2163" s="351">
        <v>5000</v>
      </c>
      <c r="S2163" s="933"/>
      <c r="T2163" s="933"/>
      <c r="U2163" s="933"/>
      <c r="W2163" s="42" t="s">
        <v>930</v>
      </c>
      <c r="X2163" s="16">
        <f t="shared" si="335"/>
        <v>5000</v>
      </c>
      <c r="Y2163" s="16">
        <f t="shared" si="334"/>
        <v>0</v>
      </c>
    </row>
    <row r="2164" spans="1:25" s="42" customFormat="1" ht="15">
      <c r="A2164" s="740"/>
      <c r="B2164" s="446" t="s">
        <v>1607</v>
      </c>
      <c r="C2164" s="649" t="s">
        <v>1656</v>
      </c>
      <c r="D2164" s="444">
        <v>40849</v>
      </c>
      <c r="E2164" s="647"/>
      <c r="F2164" s="42" t="s">
        <v>1655</v>
      </c>
      <c r="H2164" s="283"/>
      <c r="I2164" s="283"/>
      <c r="J2164" s="445"/>
      <c r="K2164" s="283">
        <v>5000</v>
      </c>
      <c r="L2164" s="283"/>
      <c r="M2164" s="283">
        <f t="shared" si="332"/>
        <v>5000</v>
      </c>
      <c r="N2164" s="283"/>
      <c r="O2164" s="815"/>
      <c r="P2164" s="108" t="s">
        <v>103</v>
      </c>
      <c r="Q2164" s="351">
        <v>5000</v>
      </c>
      <c r="R2164" s="351">
        <v>5000</v>
      </c>
      <c r="S2164" s="933"/>
      <c r="T2164" s="933"/>
      <c r="U2164" s="933"/>
      <c r="W2164" s="42" t="s">
        <v>930</v>
      </c>
      <c r="X2164" s="16">
        <f t="shared" si="335"/>
        <v>5000</v>
      </c>
      <c r="Y2164" s="16">
        <f t="shared" si="334"/>
        <v>0</v>
      </c>
    </row>
    <row r="2165" spans="1:25" s="42" customFormat="1" ht="15">
      <c r="A2165" s="740"/>
      <c r="B2165" s="446" t="s">
        <v>1561</v>
      </c>
      <c r="C2165" s="649" t="s">
        <v>1658</v>
      </c>
      <c r="D2165" s="444">
        <v>40849</v>
      </c>
      <c r="E2165" s="647"/>
      <c r="F2165" s="42" t="s">
        <v>1657</v>
      </c>
      <c r="H2165" s="283"/>
      <c r="I2165" s="283"/>
      <c r="J2165" s="445"/>
      <c r="K2165" s="283">
        <v>5000</v>
      </c>
      <c r="L2165" s="283"/>
      <c r="M2165" s="283">
        <f t="shared" si="332"/>
        <v>5000</v>
      </c>
      <c r="N2165" s="283"/>
      <c r="O2165" s="815"/>
      <c r="P2165" s="108" t="s">
        <v>103</v>
      </c>
      <c r="Q2165" s="351">
        <v>5000</v>
      </c>
      <c r="R2165" s="351">
        <v>5000</v>
      </c>
      <c r="S2165" s="1366" t="s">
        <v>6004</v>
      </c>
      <c r="T2165" s="1366"/>
      <c r="U2165" s="1366"/>
      <c r="W2165" s="42" t="s">
        <v>930</v>
      </c>
      <c r="X2165" s="16">
        <f t="shared" si="335"/>
        <v>5000</v>
      </c>
      <c r="Y2165" s="16">
        <f t="shared" si="334"/>
        <v>0</v>
      </c>
    </row>
    <row r="2166" spans="1:25" s="42" customFormat="1" ht="15">
      <c r="A2166" s="740"/>
      <c r="B2166" s="446" t="s">
        <v>1616</v>
      </c>
      <c r="C2166" s="649" t="s">
        <v>1660</v>
      </c>
      <c r="D2166" s="444">
        <v>40849</v>
      </c>
      <c r="E2166" s="647"/>
      <c r="F2166" s="42" t="s">
        <v>1659</v>
      </c>
      <c r="H2166" s="283"/>
      <c r="I2166" s="283"/>
      <c r="J2166" s="445"/>
      <c r="K2166" s="283">
        <v>2500</v>
      </c>
      <c r="L2166" s="283"/>
      <c r="M2166" s="283">
        <f t="shared" si="332"/>
        <v>2500</v>
      </c>
      <c r="N2166" s="283"/>
      <c r="O2166" s="815"/>
      <c r="P2166" s="108" t="s">
        <v>103</v>
      </c>
      <c r="Q2166" s="522">
        <f>SUM(Q2167:Q2169)</f>
        <v>2500</v>
      </c>
      <c r="R2166" s="522">
        <f>SUM(R2167:R2169)</f>
        <v>2500</v>
      </c>
      <c r="S2166" s="933"/>
      <c r="T2166" s="933"/>
      <c r="U2166" s="933"/>
      <c r="W2166" s="42" t="s">
        <v>930</v>
      </c>
      <c r="X2166" s="16">
        <f t="shared" si="335"/>
        <v>2500</v>
      </c>
      <c r="Y2166" s="16">
        <f t="shared" si="334"/>
        <v>0</v>
      </c>
    </row>
    <row r="2167" spans="1:25" s="42" customFormat="1" ht="15">
      <c r="A2167" s="740"/>
      <c r="B2167" s="918" t="s">
        <v>1661</v>
      </c>
      <c r="C2167" s="649"/>
      <c r="D2167" s="444"/>
      <c r="E2167" s="329"/>
      <c r="H2167" s="283"/>
      <c r="I2167" s="283"/>
      <c r="J2167" s="445"/>
      <c r="K2167" s="283"/>
      <c r="L2167" s="283"/>
      <c r="M2167" s="283"/>
      <c r="N2167" s="283"/>
      <c r="O2167" s="815"/>
      <c r="P2167" s="164"/>
      <c r="Q2167" s="351">
        <v>1000</v>
      </c>
      <c r="R2167" s="351">
        <v>1000</v>
      </c>
      <c r="S2167" s="933"/>
      <c r="T2167" s="933"/>
      <c r="U2167" s="933"/>
      <c r="X2167" s="16"/>
      <c r="Y2167" s="16"/>
    </row>
    <row r="2168" spans="1:25" s="42" customFormat="1" ht="15">
      <c r="A2168" s="740"/>
      <c r="B2168" s="918" t="s">
        <v>1662</v>
      </c>
      <c r="C2168" s="649"/>
      <c r="D2168" s="444"/>
      <c r="E2168" s="329"/>
      <c r="H2168" s="283"/>
      <c r="I2168" s="283"/>
      <c r="J2168" s="445"/>
      <c r="K2168" s="283"/>
      <c r="L2168" s="283"/>
      <c r="M2168" s="283"/>
      <c r="N2168" s="283"/>
      <c r="O2168" s="815"/>
      <c r="P2168" s="164"/>
      <c r="Q2168" s="351">
        <v>1000</v>
      </c>
      <c r="R2168" s="351">
        <v>1000</v>
      </c>
      <c r="S2168" s="933" t="s">
        <v>4743</v>
      </c>
      <c r="T2168" s="933"/>
      <c r="U2168" s="933"/>
      <c r="X2168" s="16"/>
      <c r="Y2168" s="16"/>
    </row>
    <row r="2169" spans="1:25" s="42" customFormat="1" ht="15">
      <c r="A2169" s="740"/>
      <c r="B2169" s="918" t="s">
        <v>1663</v>
      </c>
      <c r="C2169" s="649"/>
      <c r="D2169" s="444"/>
      <c r="E2169" s="329"/>
      <c r="H2169" s="283"/>
      <c r="I2169" s="283"/>
      <c r="J2169" s="445"/>
      <c r="K2169" s="283"/>
      <c r="L2169" s="283"/>
      <c r="M2169" s="283"/>
      <c r="N2169" s="283"/>
      <c r="O2169" s="815"/>
      <c r="P2169" s="164"/>
      <c r="Q2169" s="351">
        <v>500</v>
      </c>
      <c r="R2169" s="351">
        <v>500</v>
      </c>
      <c r="S2169" s="933"/>
      <c r="T2169" s="933"/>
      <c r="U2169" s="933"/>
      <c r="X2169" s="16"/>
      <c r="Y2169" s="16"/>
    </row>
    <row r="2170" spans="1:25" s="42" customFormat="1" ht="15">
      <c r="A2170" s="740"/>
      <c r="B2170" s="446"/>
      <c r="C2170" s="649"/>
      <c r="D2170" s="444"/>
      <c r="E2170" s="647"/>
      <c r="H2170" s="283"/>
      <c r="I2170" s="283"/>
      <c r="J2170" s="445"/>
      <c r="K2170" s="283"/>
      <c r="L2170" s="283"/>
      <c r="M2170" s="283"/>
      <c r="N2170" s="283"/>
      <c r="O2170" s="815"/>
      <c r="P2170" s="164"/>
      <c r="Q2170" s="351"/>
      <c r="R2170" s="351"/>
      <c r="S2170" s="933"/>
      <c r="T2170" s="933"/>
      <c r="U2170" s="933"/>
      <c r="X2170" s="16"/>
      <c r="Y2170" s="16"/>
    </row>
    <row r="2171" spans="1:25" s="42" customFormat="1" ht="15">
      <c r="A2171" s="740"/>
      <c r="B2171" s="446" t="s">
        <v>1561</v>
      </c>
      <c r="C2171" s="649" t="s">
        <v>1665</v>
      </c>
      <c r="D2171" s="444">
        <v>40849</v>
      </c>
      <c r="E2171" s="647"/>
      <c r="F2171" s="42" t="s">
        <v>1664</v>
      </c>
      <c r="H2171" s="283"/>
      <c r="I2171" s="283"/>
      <c r="J2171" s="445"/>
      <c r="K2171" s="283">
        <v>1500</v>
      </c>
      <c r="L2171" s="283"/>
      <c r="M2171" s="283">
        <f t="shared" ref="M2171" si="336">SUM(K2171:L2171)</f>
        <v>1500</v>
      </c>
      <c r="N2171" s="283"/>
      <c r="O2171" s="815"/>
      <c r="P2171" s="108" t="s">
        <v>103</v>
      </c>
      <c r="Q2171" s="522">
        <f>SUM(Q2172:Q2174)</f>
        <v>1500</v>
      </c>
      <c r="R2171" s="522">
        <f>SUM(R2172:R2174)</f>
        <v>1500</v>
      </c>
      <c r="S2171" s="933"/>
      <c r="T2171" s="933"/>
      <c r="U2171" s="933"/>
      <c r="W2171" s="42" t="s">
        <v>930</v>
      </c>
      <c r="X2171" s="16">
        <f t="shared" ref="X2171" si="337">SUM(J2171:L2171)</f>
        <v>1500</v>
      </c>
      <c r="Y2171" s="16">
        <f>X2171-M2171</f>
        <v>0</v>
      </c>
    </row>
    <row r="2172" spans="1:25" s="42" customFormat="1" ht="15">
      <c r="A2172" s="740"/>
      <c r="B2172" s="530" t="s">
        <v>1666</v>
      </c>
      <c r="C2172" s="649"/>
      <c r="D2172" s="444"/>
      <c r="E2172" s="329"/>
      <c r="H2172" s="283"/>
      <c r="I2172" s="283"/>
      <c r="J2172" s="445"/>
      <c r="K2172" s="283"/>
      <c r="L2172" s="283"/>
      <c r="M2172" s="283"/>
      <c r="N2172" s="283"/>
      <c r="O2172" s="815"/>
      <c r="P2172" s="164"/>
      <c r="Q2172" s="351">
        <v>500</v>
      </c>
      <c r="R2172" s="351">
        <v>500</v>
      </c>
      <c r="S2172" s="897" t="s">
        <v>1667</v>
      </c>
      <c r="T2172" s="933"/>
      <c r="U2172" s="933"/>
      <c r="X2172" s="16"/>
      <c r="Y2172" s="16"/>
    </row>
    <row r="2173" spans="1:25" s="42" customFormat="1" ht="15">
      <c r="A2173" s="740"/>
      <c r="B2173" s="530" t="s">
        <v>1668</v>
      </c>
      <c r="C2173" s="649"/>
      <c r="D2173" s="444"/>
      <c r="E2173" s="329"/>
      <c r="H2173" s="283"/>
      <c r="I2173" s="283"/>
      <c r="J2173" s="445"/>
      <c r="K2173" s="283"/>
      <c r="L2173" s="283"/>
      <c r="M2173" s="283"/>
      <c r="N2173" s="283"/>
      <c r="O2173" s="815"/>
      <c r="P2173" s="164"/>
      <c r="Q2173" s="351">
        <v>500</v>
      </c>
      <c r="R2173" s="351">
        <v>500</v>
      </c>
      <c r="S2173" s="897" t="s">
        <v>1669</v>
      </c>
      <c r="T2173" s="933"/>
      <c r="U2173" s="933"/>
      <c r="X2173" s="16"/>
      <c r="Y2173" s="16"/>
    </row>
    <row r="2174" spans="1:25" s="42" customFormat="1" ht="15">
      <c r="A2174" s="740"/>
      <c r="B2174" s="530" t="s">
        <v>1670</v>
      </c>
      <c r="C2174" s="649"/>
      <c r="D2174" s="444"/>
      <c r="E2174" s="329"/>
      <c r="H2174" s="283"/>
      <c r="I2174" s="283"/>
      <c r="J2174" s="445"/>
      <c r="K2174" s="283"/>
      <c r="L2174" s="283"/>
      <c r="M2174" s="283"/>
      <c r="N2174" s="283"/>
      <c r="O2174" s="815"/>
      <c r="P2174" s="164"/>
      <c r="Q2174" s="351">
        <v>500</v>
      </c>
      <c r="R2174" s="351">
        <v>500</v>
      </c>
      <c r="S2174" s="897" t="s">
        <v>1671</v>
      </c>
      <c r="T2174" s="933"/>
      <c r="U2174" s="933"/>
      <c r="X2174" s="16"/>
      <c r="Y2174" s="16"/>
    </row>
    <row r="2175" spans="1:25" s="42" customFormat="1" ht="15">
      <c r="A2175" s="740"/>
      <c r="B2175" s="446"/>
      <c r="C2175" s="649"/>
      <c r="D2175" s="444"/>
      <c r="E2175" s="647"/>
      <c r="H2175" s="283"/>
      <c r="I2175" s="283"/>
      <c r="J2175" s="445"/>
      <c r="K2175" s="283"/>
      <c r="L2175" s="283"/>
      <c r="M2175" s="283"/>
      <c r="N2175" s="283"/>
      <c r="O2175" s="815"/>
      <c r="P2175" s="164"/>
      <c r="Q2175" s="351"/>
      <c r="R2175" s="351"/>
      <c r="S2175" s="933"/>
      <c r="T2175" s="933"/>
      <c r="U2175" s="933"/>
      <c r="X2175" s="16"/>
      <c r="Y2175" s="16"/>
    </row>
    <row r="2176" spans="1:25" s="42" customFormat="1" ht="58.5" customHeight="1">
      <c r="A2176" s="740"/>
      <c r="B2176" s="101" t="s">
        <v>1672</v>
      </c>
      <c r="C2176" s="647" t="s">
        <v>1674</v>
      </c>
      <c r="D2176" s="527">
        <v>40849</v>
      </c>
      <c r="E2176" s="647"/>
      <c r="F2176" s="525" t="s">
        <v>1673</v>
      </c>
      <c r="G2176" s="525"/>
      <c r="H2176" s="21"/>
      <c r="I2176" s="21"/>
      <c r="J2176" s="528"/>
      <c r="K2176" s="21">
        <v>5000</v>
      </c>
      <c r="L2176" s="21"/>
      <c r="M2176" s="21">
        <f t="shared" ref="M2176:M2182" si="338">SUM(K2176:L2176)</f>
        <v>5000</v>
      </c>
      <c r="N2176" s="21"/>
      <c r="O2176" s="58"/>
      <c r="P2176" s="108" t="s">
        <v>103</v>
      </c>
      <c r="Q2176" s="93">
        <v>5000</v>
      </c>
      <c r="R2176" s="93">
        <v>5000</v>
      </c>
      <c r="S2176" s="1346" t="s">
        <v>4632</v>
      </c>
      <c r="T2176" s="1346"/>
      <c r="U2176" s="1346"/>
      <c r="W2176" s="525" t="s">
        <v>930</v>
      </c>
      <c r="X2176" s="16">
        <f t="shared" ref="X2176:X2182" si="339">SUM(J2176:L2176)</f>
        <v>5000</v>
      </c>
      <c r="Y2176" s="16">
        <f t="shared" ref="Y2176:Y2182" si="340">X2176-M2176</f>
        <v>0</v>
      </c>
    </row>
    <row r="2177" spans="1:25" s="42" customFormat="1" ht="15">
      <c r="A2177" s="740"/>
      <c r="B2177" s="446" t="s">
        <v>1675</v>
      </c>
      <c r="C2177" s="649" t="s">
        <v>1677</v>
      </c>
      <c r="D2177" s="444">
        <v>40849</v>
      </c>
      <c r="E2177" s="647"/>
      <c r="F2177" s="42" t="s">
        <v>1676</v>
      </c>
      <c r="H2177" s="283"/>
      <c r="I2177" s="283"/>
      <c r="J2177" s="445"/>
      <c r="K2177" s="283">
        <v>150</v>
      </c>
      <c r="L2177" s="283"/>
      <c r="M2177" s="283">
        <f t="shared" si="338"/>
        <v>150</v>
      </c>
      <c r="N2177" s="283"/>
      <c r="O2177" s="815"/>
      <c r="P2177" s="108" t="s">
        <v>103</v>
      </c>
      <c r="Q2177" s="351">
        <v>150</v>
      </c>
      <c r="R2177" s="351">
        <v>150</v>
      </c>
      <c r="S2177" s="933"/>
      <c r="T2177" s="933"/>
      <c r="U2177" s="933"/>
      <c r="W2177" s="42" t="s">
        <v>930</v>
      </c>
      <c r="X2177" s="16">
        <f t="shared" si="339"/>
        <v>150</v>
      </c>
      <c r="Y2177" s="16">
        <f t="shared" si="340"/>
        <v>0</v>
      </c>
    </row>
    <row r="2178" spans="1:25" s="42" customFormat="1" ht="30">
      <c r="A2178" s="740"/>
      <c r="B2178" s="446" t="s">
        <v>1678</v>
      </c>
      <c r="C2178" s="649" t="s">
        <v>1680</v>
      </c>
      <c r="D2178" s="444">
        <v>40849</v>
      </c>
      <c r="E2178" s="647"/>
      <c r="F2178" s="42" t="s">
        <v>1679</v>
      </c>
      <c r="H2178" s="283"/>
      <c r="I2178" s="283"/>
      <c r="J2178" s="445"/>
      <c r="K2178" s="283">
        <v>500</v>
      </c>
      <c r="L2178" s="283"/>
      <c r="M2178" s="283">
        <f t="shared" si="338"/>
        <v>500</v>
      </c>
      <c r="N2178" s="283"/>
      <c r="O2178" s="815"/>
      <c r="P2178" s="108" t="s">
        <v>103</v>
      </c>
      <c r="Q2178" s="351">
        <v>500</v>
      </c>
      <c r="R2178" s="351">
        <v>500</v>
      </c>
      <c r="S2178" s="933" t="s">
        <v>6133</v>
      </c>
      <c r="T2178" s="933"/>
      <c r="U2178" s="933"/>
      <c r="W2178" s="42" t="s">
        <v>930</v>
      </c>
      <c r="X2178" s="16">
        <f t="shared" si="339"/>
        <v>500</v>
      </c>
      <c r="Y2178" s="16">
        <f t="shared" si="340"/>
        <v>0</v>
      </c>
    </row>
    <row r="2179" spans="1:25" s="42" customFormat="1" ht="15">
      <c r="A2179" s="740"/>
      <c r="B2179" s="446" t="s">
        <v>1639</v>
      </c>
      <c r="C2179" s="649" t="s">
        <v>1682</v>
      </c>
      <c r="D2179" s="444">
        <v>40849</v>
      </c>
      <c r="E2179" s="647"/>
      <c r="F2179" s="42" t="s">
        <v>1681</v>
      </c>
      <c r="H2179" s="283"/>
      <c r="I2179" s="283"/>
      <c r="J2179" s="445"/>
      <c r="K2179" s="283">
        <v>3302</v>
      </c>
      <c r="L2179" s="283"/>
      <c r="M2179" s="283">
        <f t="shared" si="338"/>
        <v>3302</v>
      </c>
      <c r="N2179" s="283"/>
      <c r="O2179" s="815"/>
      <c r="P2179" s="108" t="s">
        <v>103</v>
      </c>
      <c r="Q2179" s="351">
        <v>3302</v>
      </c>
      <c r="R2179" s="351">
        <v>3302</v>
      </c>
      <c r="S2179" s="933"/>
      <c r="T2179" s="933"/>
      <c r="U2179" s="933"/>
      <c r="W2179" s="42" t="s">
        <v>930</v>
      </c>
      <c r="X2179" s="16">
        <f t="shared" si="339"/>
        <v>3302</v>
      </c>
      <c r="Y2179" s="16">
        <f t="shared" si="340"/>
        <v>0</v>
      </c>
    </row>
    <row r="2180" spans="1:25" s="42" customFormat="1" ht="15">
      <c r="A2180" s="740"/>
      <c r="B2180" s="446" t="s">
        <v>1678</v>
      </c>
      <c r="C2180" s="649" t="s">
        <v>1684</v>
      </c>
      <c r="D2180" s="444">
        <v>40849</v>
      </c>
      <c r="E2180" s="647"/>
      <c r="F2180" s="42" t="s">
        <v>1683</v>
      </c>
      <c r="H2180" s="283"/>
      <c r="I2180" s="283"/>
      <c r="J2180" s="445"/>
      <c r="K2180" s="283">
        <f>5404995/1000</f>
        <v>5404.9949999999999</v>
      </c>
      <c r="L2180" s="283"/>
      <c r="M2180" s="283">
        <f t="shared" si="338"/>
        <v>5404.9949999999999</v>
      </c>
      <c r="N2180" s="283"/>
      <c r="O2180" s="815"/>
      <c r="P2180" s="108" t="s">
        <v>103</v>
      </c>
      <c r="Q2180" s="351">
        <f>5404995/1000</f>
        <v>5404.9949999999999</v>
      </c>
      <c r="R2180" s="351">
        <f>5404995/1000</f>
        <v>5404.9949999999999</v>
      </c>
      <c r="S2180" s="933"/>
      <c r="T2180" s="933"/>
      <c r="U2180" s="933"/>
      <c r="W2180" s="42" t="s">
        <v>930</v>
      </c>
      <c r="X2180" s="16">
        <f t="shared" si="339"/>
        <v>5404.9949999999999</v>
      </c>
      <c r="Y2180" s="16">
        <f t="shared" si="340"/>
        <v>0</v>
      </c>
    </row>
    <row r="2181" spans="1:25" s="42" customFormat="1" ht="15">
      <c r="A2181" s="740"/>
      <c r="B2181" s="446" t="s">
        <v>1607</v>
      </c>
      <c r="C2181" s="649" t="s">
        <v>1686</v>
      </c>
      <c r="D2181" s="444">
        <v>40849</v>
      </c>
      <c r="E2181" s="647"/>
      <c r="F2181" s="42" t="s">
        <v>1685</v>
      </c>
      <c r="H2181" s="283"/>
      <c r="I2181" s="283"/>
      <c r="J2181" s="445"/>
      <c r="K2181" s="283">
        <v>6400</v>
      </c>
      <c r="L2181" s="283"/>
      <c r="M2181" s="283">
        <f t="shared" si="338"/>
        <v>6400</v>
      </c>
      <c r="N2181" s="283"/>
      <c r="O2181" s="815"/>
      <c r="P2181" s="108" t="s">
        <v>103</v>
      </c>
      <c r="Q2181" s="351">
        <v>6400</v>
      </c>
      <c r="R2181" s="351">
        <v>6400</v>
      </c>
      <c r="S2181" s="933"/>
      <c r="T2181" s="933"/>
      <c r="U2181" s="933"/>
      <c r="W2181" s="42" t="s">
        <v>930</v>
      </c>
      <c r="X2181" s="16">
        <f t="shared" si="339"/>
        <v>6400</v>
      </c>
      <c r="Y2181" s="16">
        <f t="shared" si="340"/>
        <v>0</v>
      </c>
    </row>
    <row r="2182" spans="1:25" s="42" customFormat="1" ht="75">
      <c r="A2182" s="740"/>
      <c r="B2182" s="446" t="s">
        <v>1687</v>
      </c>
      <c r="C2182" s="649" t="s">
        <v>1689</v>
      </c>
      <c r="D2182" s="444">
        <v>40849</v>
      </c>
      <c r="E2182" s="647"/>
      <c r="F2182" s="42" t="s">
        <v>1688</v>
      </c>
      <c r="H2182" s="283"/>
      <c r="I2182" s="283"/>
      <c r="J2182" s="445"/>
      <c r="K2182" s="283">
        <v>10000</v>
      </c>
      <c r="L2182" s="283"/>
      <c r="M2182" s="283">
        <f t="shared" si="338"/>
        <v>10000</v>
      </c>
      <c r="N2182" s="283"/>
      <c r="O2182" s="815"/>
      <c r="P2182" s="108" t="s">
        <v>103</v>
      </c>
      <c r="Q2182" s="522">
        <f>SUM(Q2183:Q2184)</f>
        <v>10000</v>
      </c>
      <c r="R2182" s="522">
        <f>SUM(R2183:R2184)</f>
        <v>10000</v>
      </c>
      <c r="S2182" s="933" t="s">
        <v>6238</v>
      </c>
      <c r="T2182" s="933"/>
      <c r="U2182" s="933"/>
      <c r="W2182" s="42" t="s">
        <v>930</v>
      </c>
      <c r="X2182" s="16">
        <f t="shared" si="339"/>
        <v>10000</v>
      </c>
      <c r="Y2182" s="16">
        <f t="shared" si="340"/>
        <v>0</v>
      </c>
    </row>
    <row r="2183" spans="1:25" s="42" customFormat="1" ht="15">
      <c r="A2183" s="740"/>
      <c r="B2183" s="530" t="s">
        <v>1690</v>
      </c>
      <c r="C2183" s="649"/>
      <c r="D2183" s="444"/>
      <c r="E2183" s="329"/>
      <c r="H2183" s="283"/>
      <c r="I2183" s="283"/>
      <c r="J2183" s="445"/>
      <c r="K2183" s="283"/>
      <c r="L2183" s="283"/>
      <c r="M2183" s="283"/>
      <c r="N2183" s="283"/>
      <c r="O2183" s="815"/>
      <c r="P2183" s="164"/>
      <c r="Q2183" s="351">
        <v>5000</v>
      </c>
      <c r="R2183" s="351">
        <v>5000</v>
      </c>
      <c r="S2183" s="933"/>
      <c r="T2183" s="933"/>
      <c r="U2183" s="933"/>
      <c r="X2183" s="16"/>
      <c r="Y2183" s="16"/>
    </row>
    <row r="2184" spans="1:25" s="42" customFormat="1" ht="15">
      <c r="A2184" s="740"/>
      <c r="B2184" s="530" t="s">
        <v>1691</v>
      </c>
      <c r="C2184" s="649"/>
      <c r="D2184" s="444"/>
      <c r="E2184" s="329"/>
      <c r="H2184" s="283"/>
      <c r="I2184" s="283"/>
      <c r="J2184" s="445"/>
      <c r="K2184" s="283"/>
      <c r="L2184" s="283"/>
      <c r="M2184" s="283"/>
      <c r="N2184" s="283"/>
      <c r="O2184" s="815"/>
      <c r="P2184" s="164"/>
      <c r="Q2184" s="351">
        <v>5000</v>
      </c>
      <c r="R2184" s="351">
        <v>5000</v>
      </c>
      <c r="S2184" s="933"/>
      <c r="T2184" s="933"/>
      <c r="U2184" s="933"/>
      <c r="X2184" s="16"/>
      <c r="Y2184" s="16"/>
    </row>
    <row r="2185" spans="1:25" s="42" customFormat="1" ht="15">
      <c r="A2185" s="740"/>
      <c r="B2185" s="446"/>
      <c r="C2185" s="649"/>
      <c r="D2185" s="444"/>
      <c r="E2185" s="647"/>
      <c r="H2185" s="283"/>
      <c r="I2185" s="283"/>
      <c r="J2185" s="445"/>
      <c r="K2185" s="283"/>
      <c r="L2185" s="283"/>
      <c r="M2185" s="283"/>
      <c r="N2185" s="283"/>
      <c r="O2185" s="815"/>
      <c r="P2185" s="164"/>
      <c r="Q2185" s="351"/>
      <c r="R2185" s="351"/>
      <c r="S2185" s="933"/>
      <c r="T2185" s="933"/>
      <c r="U2185" s="933"/>
      <c r="X2185" s="16"/>
      <c r="Y2185" s="16"/>
    </row>
    <row r="2186" spans="1:25" s="42" customFormat="1" ht="15">
      <c r="A2186" s="740"/>
      <c r="B2186" s="446" t="s">
        <v>1616</v>
      </c>
      <c r="C2186" s="649" t="s">
        <v>1693</v>
      </c>
      <c r="D2186" s="444">
        <v>40849</v>
      </c>
      <c r="E2186" s="647"/>
      <c r="F2186" s="42" t="s">
        <v>1692</v>
      </c>
      <c r="H2186" s="283"/>
      <c r="I2186" s="283"/>
      <c r="J2186" s="445"/>
      <c r="K2186" s="283">
        <v>4500</v>
      </c>
      <c r="L2186" s="283"/>
      <c r="M2186" s="283">
        <f t="shared" ref="M2186:M2210" si="341">SUM(K2186:L2186)</f>
        <v>4500</v>
      </c>
      <c r="N2186" s="283"/>
      <c r="O2186" s="815"/>
      <c r="P2186" s="108" t="s">
        <v>103</v>
      </c>
      <c r="Q2186" s="351">
        <v>4500</v>
      </c>
      <c r="R2186" s="351">
        <v>4500</v>
      </c>
      <c r="S2186" s="933"/>
      <c r="T2186" s="933"/>
      <c r="U2186" s="933"/>
      <c r="W2186" s="42" t="s">
        <v>930</v>
      </c>
      <c r="X2186" s="16">
        <f t="shared" ref="X2186:X2210" si="342">SUM(J2186:L2186)</f>
        <v>4500</v>
      </c>
      <c r="Y2186" s="16">
        <f t="shared" ref="Y2186:Y2210" si="343">X2186-M2186</f>
        <v>0</v>
      </c>
    </row>
    <row r="2187" spans="1:25" s="42" customFormat="1" ht="15">
      <c r="A2187" s="740"/>
      <c r="B2187" s="446" t="s">
        <v>1675</v>
      </c>
      <c r="C2187" s="649" t="s">
        <v>1695</v>
      </c>
      <c r="D2187" s="444">
        <v>40849</v>
      </c>
      <c r="E2187" s="647"/>
      <c r="F2187" s="42" t="s">
        <v>1694</v>
      </c>
      <c r="H2187" s="283"/>
      <c r="I2187" s="283"/>
      <c r="J2187" s="445"/>
      <c r="K2187" s="283">
        <v>5000</v>
      </c>
      <c r="L2187" s="283"/>
      <c r="M2187" s="283">
        <f t="shared" si="341"/>
        <v>5000</v>
      </c>
      <c r="N2187" s="283"/>
      <c r="O2187" s="815"/>
      <c r="P2187" s="108" t="s">
        <v>103</v>
      </c>
      <c r="Q2187" s="351">
        <v>5000</v>
      </c>
      <c r="R2187" s="351">
        <v>5000</v>
      </c>
      <c r="S2187" s="933"/>
      <c r="T2187" s="933"/>
      <c r="U2187" s="933"/>
      <c r="W2187" s="42" t="s">
        <v>930</v>
      </c>
      <c r="X2187" s="16">
        <f t="shared" si="342"/>
        <v>5000</v>
      </c>
      <c r="Y2187" s="16">
        <f t="shared" si="343"/>
        <v>0</v>
      </c>
    </row>
    <row r="2188" spans="1:25" s="42" customFormat="1" ht="15">
      <c r="A2188" s="740"/>
      <c r="B2188" s="446" t="s">
        <v>1607</v>
      </c>
      <c r="C2188" s="649" t="s">
        <v>1697</v>
      </c>
      <c r="D2188" s="444">
        <v>40849</v>
      </c>
      <c r="E2188" s="647"/>
      <c r="F2188" s="42" t="s">
        <v>1696</v>
      </c>
      <c r="H2188" s="283"/>
      <c r="I2188" s="283"/>
      <c r="J2188" s="445"/>
      <c r="K2188" s="283">
        <v>2000</v>
      </c>
      <c r="L2188" s="283"/>
      <c r="M2188" s="283">
        <f t="shared" si="341"/>
        <v>2000</v>
      </c>
      <c r="N2188" s="283"/>
      <c r="O2188" s="815"/>
      <c r="P2188" s="108" t="s">
        <v>103</v>
      </c>
      <c r="Q2188" s="351">
        <v>2000</v>
      </c>
      <c r="R2188" s="351">
        <v>2000</v>
      </c>
      <c r="S2188" s="933"/>
      <c r="T2188" s="933"/>
      <c r="U2188" s="933"/>
      <c r="W2188" s="42" t="s">
        <v>930</v>
      </c>
      <c r="X2188" s="16">
        <f t="shared" si="342"/>
        <v>2000</v>
      </c>
      <c r="Y2188" s="16">
        <f t="shared" si="343"/>
        <v>0</v>
      </c>
    </row>
    <row r="2189" spans="1:25" s="42" customFormat="1" ht="15">
      <c r="A2189" s="740"/>
      <c r="B2189" s="446" t="s">
        <v>1675</v>
      </c>
      <c r="C2189" s="649" t="s">
        <v>1699</v>
      </c>
      <c r="D2189" s="444">
        <v>40849</v>
      </c>
      <c r="E2189" s="647"/>
      <c r="F2189" s="42" t="s">
        <v>1698</v>
      </c>
      <c r="H2189" s="283"/>
      <c r="I2189" s="283"/>
      <c r="J2189" s="445"/>
      <c r="K2189" s="283">
        <v>62000</v>
      </c>
      <c r="L2189" s="283"/>
      <c r="M2189" s="283">
        <f t="shared" si="341"/>
        <v>62000</v>
      </c>
      <c r="N2189" s="283"/>
      <c r="O2189" s="815"/>
      <c r="P2189" s="108" t="s">
        <v>103</v>
      </c>
      <c r="Q2189" s="351">
        <v>62000</v>
      </c>
      <c r="R2189" s="351">
        <v>62000</v>
      </c>
      <c r="S2189" s="933"/>
      <c r="T2189" s="933"/>
      <c r="U2189" s="933"/>
      <c r="W2189" s="42" t="s">
        <v>930</v>
      </c>
      <c r="X2189" s="16">
        <f t="shared" si="342"/>
        <v>62000</v>
      </c>
      <c r="Y2189" s="16">
        <f t="shared" si="343"/>
        <v>0</v>
      </c>
    </row>
    <row r="2190" spans="1:25" s="42" customFormat="1" ht="15">
      <c r="A2190" s="740"/>
      <c r="B2190" s="446" t="s">
        <v>1700</v>
      </c>
      <c r="C2190" s="649" t="s">
        <v>1702</v>
      </c>
      <c r="D2190" s="444">
        <v>40849</v>
      </c>
      <c r="E2190" s="647"/>
      <c r="F2190" s="42" t="s">
        <v>1701</v>
      </c>
      <c r="H2190" s="283"/>
      <c r="I2190" s="283"/>
      <c r="J2190" s="445"/>
      <c r="K2190" s="283">
        <v>5000</v>
      </c>
      <c r="L2190" s="283"/>
      <c r="M2190" s="283">
        <f t="shared" si="341"/>
        <v>5000</v>
      </c>
      <c r="N2190" s="283"/>
      <c r="O2190" s="815"/>
      <c r="P2190" s="108" t="s">
        <v>103</v>
      </c>
      <c r="Q2190" s="351">
        <v>5000</v>
      </c>
      <c r="R2190" s="351">
        <v>5000</v>
      </c>
      <c r="S2190" s="933"/>
      <c r="T2190" s="933"/>
      <c r="U2190" s="933"/>
      <c r="W2190" s="42" t="s">
        <v>930</v>
      </c>
      <c r="X2190" s="16">
        <f t="shared" si="342"/>
        <v>5000</v>
      </c>
      <c r="Y2190" s="16">
        <f t="shared" si="343"/>
        <v>0</v>
      </c>
    </row>
    <row r="2191" spans="1:25" s="42" customFormat="1" ht="15">
      <c r="A2191" s="740"/>
      <c r="B2191" s="446" t="s">
        <v>1607</v>
      </c>
      <c r="C2191" s="649" t="s">
        <v>1704</v>
      </c>
      <c r="D2191" s="444">
        <v>40849</v>
      </c>
      <c r="E2191" s="647"/>
      <c r="F2191" s="42" t="s">
        <v>1703</v>
      </c>
      <c r="H2191" s="283"/>
      <c r="I2191" s="283"/>
      <c r="J2191" s="445"/>
      <c r="K2191" s="283">
        <v>9500</v>
      </c>
      <c r="L2191" s="283"/>
      <c r="M2191" s="283">
        <f t="shared" si="341"/>
        <v>9500</v>
      </c>
      <c r="N2191" s="283"/>
      <c r="O2191" s="815"/>
      <c r="P2191" s="108" t="s">
        <v>103</v>
      </c>
      <c r="Q2191" s="351">
        <v>9500</v>
      </c>
      <c r="R2191" s="351">
        <v>9500</v>
      </c>
      <c r="S2191" s="933"/>
      <c r="T2191" s="933"/>
      <c r="U2191" s="933"/>
      <c r="W2191" s="42" t="s">
        <v>930</v>
      </c>
      <c r="X2191" s="16">
        <f t="shared" si="342"/>
        <v>9500</v>
      </c>
      <c r="Y2191" s="16">
        <f t="shared" si="343"/>
        <v>0</v>
      </c>
    </row>
    <row r="2192" spans="1:25" s="42" customFormat="1" ht="30" customHeight="1">
      <c r="A2192" s="740"/>
      <c r="B2192" s="101" t="s">
        <v>1561</v>
      </c>
      <c r="C2192" s="647" t="s">
        <v>1706</v>
      </c>
      <c r="D2192" s="651">
        <v>40857</v>
      </c>
      <c r="E2192" s="647"/>
      <c r="F2192" s="525" t="s">
        <v>1705</v>
      </c>
      <c r="G2192" s="525"/>
      <c r="H2192" s="21"/>
      <c r="I2192" s="21"/>
      <c r="J2192" s="666"/>
      <c r="K2192" s="21">
        <v>500</v>
      </c>
      <c r="L2192" s="21"/>
      <c r="M2192" s="21">
        <f t="shared" si="341"/>
        <v>500</v>
      </c>
      <c r="N2192" s="21"/>
      <c r="O2192" s="58"/>
      <c r="P2192" s="108" t="s">
        <v>103</v>
      </c>
      <c r="Q2192" s="93">
        <v>500</v>
      </c>
      <c r="R2192" s="93">
        <v>500</v>
      </c>
      <c r="S2192" s="1324" t="s">
        <v>1707</v>
      </c>
      <c r="T2192" s="1324"/>
      <c r="U2192" s="1324"/>
      <c r="V2192" s="525"/>
      <c r="W2192" s="525" t="s">
        <v>930</v>
      </c>
      <c r="X2192" s="16">
        <f t="shared" si="342"/>
        <v>500</v>
      </c>
      <c r="Y2192" s="16">
        <f t="shared" si="343"/>
        <v>0</v>
      </c>
    </row>
    <row r="2193" spans="1:25" s="42" customFormat="1" ht="15">
      <c r="A2193" s="740"/>
      <c r="B2193" s="446" t="s">
        <v>1651</v>
      </c>
      <c r="C2193" s="649" t="s">
        <v>1709</v>
      </c>
      <c r="D2193" s="444">
        <v>40857</v>
      </c>
      <c r="E2193" s="647"/>
      <c r="F2193" s="42" t="s">
        <v>1708</v>
      </c>
      <c r="H2193" s="283"/>
      <c r="I2193" s="283"/>
      <c r="J2193" s="445"/>
      <c r="K2193" s="283">
        <v>500</v>
      </c>
      <c r="L2193" s="283"/>
      <c r="M2193" s="283">
        <f t="shared" si="341"/>
        <v>500</v>
      </c>
      <c r="N2193" s="283"/>
      <c r="O2193" s="815"/>
      <c r="P2193" s="108" t="s">
        <v>103</v>
      </c>
      <c r="Q2193" s="351">
        <v>500</v>
      </c>
      <c r="R2193" s="351">
        <v>500</v>
      </c>
      <c r="S2193" s="933"/>
      <c r="T2193" s="933"/>
      <c r="U2193" s="933"/>
      <c r="W2193" s="42" t="s">
        <v>930</v>
      </c>
      <c r="X2193" s="16">
        <f t="shared" si="342"/>
        <v>500</v>
      </c>
      <c r="Y2193" s="16">
        <f t="shared" si="343"/>
        <v>0</v>
      </c>
    </row>
    <row r="2194" spans="1:25" s="42" customFormat="1" ht="15">
      <c r="A2194" s="740"/>
      <c r="B2194" s="446" t="s">
        <v>1700</v>
      </c>
      <c r="C2194" s="649" t="s">
        <v>1711</v>
      </c>
      <c r="D2194" s="444">
        <v>40857</v>
      </c>
      <c r="E2194" s="647"/>
      <c r="F2194" s="42" t="s">
        <v>1710</v>
      </c>
      <c r="H2194" s="283"/>
      <c r="I2194" s="283"/>
      <c r="J2194" s="445"/>
      <c r="K2194" s="283">
        <v>7500</v>
      </c>
      <c r="L2194" s="283"/>
      <c r="M2194" s="283">
        <f t="shared" si="341"/>
        <v>7500</v>
      </c>
      <c r="N2194" s="283"/>
      <c r="O2194" s="815"/>
      <c r="P2194" s="108" t="s">
        <v>103</v>
      </c>
      <c r="Q2194" s="351">
        <v>7500</v>
      </c>
      <c r="R2194" s="351">
        <v>7500</v>
      </c>
      <c r="S2194" s="933"/>
      <c r="T2194" s="933"/>
      <c r="U2194" s="933"/>
      <c r="W2194" s="42" t="s">
        <v>930</v>
      </c>
      <c r="X2194" s="16">
        <f t="shared" si="342"/>
        <v>7500</v>
      </c>
      <c r="Y2194" s="16">
        <f t="shared" si="343"/>
        <v>0</v>
      </c>
    </row>
    <row r="2195" spans="1:25" s="42" customFormat="1" ht="15">
      <c r="A2195" s="740"/>
      <c r="B2195" s="446" t="s">
        <v>1639</v>
      </c>
      <c r="C2195" s="649" t="s">
        <v>1713</v>
      </c>
      <c r="D2195" s="444">
        <v>40857</v>
      </c>
      <c r="E2195" s="647"/>
      <c r="F2195" s="42" t="s">
        <v>1712</v>
      </c>
      <c r="H2195" s="283"/>
      <c r="I2195" s="283"/>
      <c r="J2195" s="445"/>
      <c r="K2195" s="283">
        <v>1000</v>
      </c>
      <c r="L2195" s="283"/>
      <c r="M2195" s="283">
        <f t="shared" si="341"/>
        <v>1000</v>
      </c>
      <c r="N2195" s="283"/>
      <c r="O2195" s="815"/>
      <c r="P2195" s="108" t="s">
        <v>103</v>
      </c>
      <c r="Q2195" s="351">
        <v>1000</v>
      </c>
      <c r="R2195" s="351">
        <v>1000</v>
      </c>
      <c r="S2195" s="933"/>
      <c r="T2195" s="933"/>
      <c r="U2195" s="933"/>
      <c r="W2195" s="42" t="s">
        <v>930</v>
      </c>
      <c r="X2195" s="16">
        <f t="shared" si="342"/>
        <v>1000</v>
      </c>
      <c r="Y2195" s="16">
        <f t="shared" si="343"/>
        <v>0</v>
      </c>
    </row>
    <row r="2196" spans="1:25" s="42" customFormat="1" ht="15">
      <c r="A2196" s="740"/>
      <c r="B2196" s="446" t="s">
        <v>1648</v>
      </c>
      <c r="C2196" s="649" t="s">
        <v>1715</v>
      </c>
      <c r="D2196" s="444">
        <v>40857</v>
      </c>
      <c r="E2196" s="647"/>
      <c r="F2196" s="42" t="s">
        <v>1714</v>
      </c>
      <c r="H2196" s="283"/>
      <c r="I2196" s="283"/>
      <c r="J2196" s="445"/>
      <c r="K2196" s="283">
        <v>250</v>
      </c>
      <c r="L2196" s="283"/>
      <c r="M2196" s="283">
        <f t="shared" si="341"/>
        <v>250</v>
      </c>
      <c r="N2196" s="283"/>
      <c r="O2196" s="815"/>
      <c r="P2196" s="108" t="s">
        <v>103</v>
      </c>
      <c r="Q2196" s="351">
        <v>250</v>
      </c>
      <c r="R2196" s="351">
        <v>250</v>
      </c>
      <c r="S2196" s="933"/>
      <c r="T2196" s="933"/>
      <c r="U2196" s="933"/>
      <c r="W2196" s="42" t="s">
        <v>930</v>
      </c>
      <c r="X2196" s="16">
        <f t="shared" si="342"/>
        <v>250</v>
      </c>
      <c r="Y2196" s="16">
        <f t="shared" si="343"/>
        <v>0</v>
      </c>
    </row>
    <row r="2197" spans="1:25" s="42" customFormat="1" ht="15">
      <c r="A2197" s="740"/>
      <c r="B2197" s="446" t="s">
        <v>1678</v>
      </c>
      <c r="C2197" s="649" t="s">
        <v>1717</v>
      </c>
      <c r="D2197" s="444">
        <v>40857</v>
      </c>
      <c r="E2197" s="647"/>
      <c r="F2197" s="42" t="s">
        <v>1716</v>
      </c>
      <c r="H2197" s="283"/>
      <c r="I2197" s="283"/>
      <c r="J2197" s="445"/>
      <c r="K2197" s="283">
        <v>2200</v>
      </c>
      <c r="L2197" s="283"/>
      <c r="M2197" s="283">
        <f t="shared" si="341"/>
        <v>2200</v>
      </c>
      <c r="N2197" s="283"/>
      <c r="O2197" s="815"/>
      <c r="P2197" s="108" t="s">
        <v>103</v>
      </c>
      <c r="Q2197" s="351">
        <v>2200</v>
      </c>
      <c r="R2197" s="351">
        <v>2200</v>
      </c>
      <c r="S2197" s="933"/>
      <c r="T2197" s="933"/>
      <c r="U2197" s="933"/>
      <c r="W2197" s="42" t="s">
        <v>930</v>
      </c>
      <c r="X2197" s="16">
        <f t="shared" si="342"/>
        <v>2200</v>
      </c>
      <c r="Y2197" s="16">
        <f t="shared" si="343"/>
        <v>0</v>
      </c>
    </row>
    <row r="2198" spans="1:25" s="42" customFormat="1" ht="66" customHeight="1">
      <c r="A2198" s="740"/>
      <c r="B2198" s="101" t="s">
        <v>1672</v>
      </c>
      <c r="C2198" s="647" t="s">
        <v>1719</v>
      </c>
      <c r="D2198" s="527">
        <v>40857</v>
      </c>
      <c r="E2198" s="647"/>
      <c r="F2198" s="525" t="s">
        <v>1718</v>
      </c>
      <c r="G2198" s="525"/>
      <c r="H2198" s="21"/>
      <c r="I2198" s="21"/>
      <c r="J2198" s="528"/>
      <c r="K2198" s="21">
        <v>1500</v>
      </c>
      <c r="L2198" s="21"/>
      <c r="M2198" s="21">
        <f t="shared" si="341"/>
        <v>1500</v>
      </c>
      <c r="N2198" s="21"/>
      <c r="O2198" s="58"/>
      <c r="P2198" s="108" t="s">
        <v>103</v>
      </c>
      <c r="Q2198" s="93">
        <v>1500</v>
      </c>
      <c r="R2198" s="93">
        <v>1500</v>
      </c>
      <c r="S2198" s="1346" t="s">
        <v>4632</v>
      </c>
      <c r="T2198" s="1346"/>
      <c r="U2198" s="1346"/>
      <c r="W2198" s="525" t="s">
        <v>930</v>
      </c>
      <c r="X2198" s="16">
        <f t="shared" si="342"/>
        <v>1500</v>
      </c>
      <c r="Y2198" s="16">
        <f t="shared" si="343"/>
        <v>0</v>
      </c>
    </row>
    <row r="2199" spans="1:25" s="42" customFormat="1" ht="29.25" customHeight="1">
      <c r="A2199" s="740"/>
      <c r="B2199" s="101" t="s">
        <v>1600</v>
      </c>
      <c r="C2199" s="647" t="s">
        <v>1721</v>
      </c>
      <c r="D2199" s="527">
        <v>40857</v>
      </c>
      <c r="E2199" s="647"/>
      <c r="F2199" s="525" t="s">
        <v>1720</v>
      </c>
      <c r="G2199" s="525"/>
      <c r="H2199" s="21"/>
      <c r="I2199" s="21"/>
      <c r="J2199" s="528"/>
      <c r="K2199" s="21">
        <v>1500</v>
      </c>
      <c r="L2199" s="21"/>
      <c r="M2199" s="21">
        <f t="shared" si="341"/>
        <v>1500</v>
      </c>
      <c r="N2199" s="21"/>
      <c r="O2199" s="58"/>
      <c r="P2199" s="108" t="s">
        <v>103</v>
      </c>
      <c r="Q2199" s="93">
        <v>1500</v>
      </c>
      <c r="R2199" s="93">
        <v>1500</v>
      </c>
      <c r="S2199" s="1328" t="s">
        <v>1722</v>
      </c>
      <c r="T2199" s="1328"/>
      <c r="U2199" s="1328"/>
      <c r="W2199" s="525" t="s">
        <v>930</v>
      </c>
      <c r="X2199" s="16">
        <f t="shared" si="342"/>
        <v>1500</v>
      </c>
      <c r="Y2199" s="16">
        <f t="shared" si="343"/>
        <v>0</v>
      </c>
    </row>
    <row r="2200" spans="1:25" s="42" customFormat="1" ht="15">
      <c r="A2200" s="740"/>
      <c r="B2200" s="446" t="s">
        <v>1591</v>
      </c>
      <c r="C2200" s="649" t="s">
        <v>1724</v>
      </c>
      <c r="D2200" s="444">
        <v>40857</v>
      </c>
      <c r="E2200" s="647"/>
      <c r="F2200" s="42" t="s">
        <v>1723</v>
      </c>
      <c r="H2200" s="283"/>
      <c r="I2200" s="283"/>
      <c r="J2200" s="445"/>
      <c r="K2200" s="283">
        <v>1000</v>
      </c>
      <c r="L2200" s="283"/>
      <c r="M2200" s="283">
        <f t="shared" si="341"/>
        <v>1000</v>
      </c>
      <c r="N2200" s="283"/>
      <c r="O2200" s="815"/>
      <c r="P2200" s="108" t="s">
        <v>103</v>
      </c>
      <c r="Q2200" s="351">
        <v>1000</v>
      </c>
      <c r="R2200" s="351">
        <v>1000</v>
      </c>
      <c r="S2200" s="933"/>
      <c r="T2200" s="933"/>
      <c r="U2200" s="933"/>
      <c r="W2200" s="42" t="s">
        <v>930</v>
      </c>
      <c r="X2200" s="16">
        <f t="shared" si="342"/>
        <v>1000</v>
      </c>
      <c r="Y2200" s="16">
        <f t="shared" si="343"/>
        <v>0</v>
      </c>
    </row>
    <row r="2201" spans="1:25" s="42" customFormat="1" ht="15">
      <c r="A2201" s="740"/>
      <c r="B2201" s="446" t="s">
        <v>1607</v>
      </c>
      <c r="C2201" s="649" t="s">
        <v>1726</v>
      </c>
      <c r="D2201" s="444">
        <v>40857</v>
      </c>
      <c r="E2201" s="647"/>
      <c r="F2201" s="42" t="s">
        <v>1725</v>
      </c>
      <c r="H2201" s="283"/>
      <c r="I2201" s="283"/>
      <c r="J2201" s="445"/>
      <c r="K2201" s="283">
        <v>1000</v>
      </c>
      <c r="L2201" s="283"/>
      <c r="M2201" s="283">
        <f t="shared" si="341"/>
        <v>1000</v>
      </c>
      <c r="N2201" s="283"/>
      <c r="O2201" s="815"/>
      <c r="P2201" s="108" t="s">
        <v>103</v>
      </c>
      <c r="Q2201" s="351">
        <v>1000</v>
      </c>
      <c r="R2201" s="351">
        <v>1000</v>
      </c>
      <c r="S2201" s="933"/>
      <c r="T2201" s="933"/>
      <c r="U2201" s="933"/>
      <c r="W2201" s="42" t="s">
        <v>930</v>
      </c>
      <c r="X2201" s="16">
        <f t="shared" si="342"/>
        <v>1000</v>
      </c>
      <c r="Y2201" s="16">
        <f t="shared" si="343"/>
        <v>0</v>
      </c>
    </row>
    <row r="2202" spans="1:25" s="42" customFormat="1" ht="15">
      <c r="A2202" s="740"/>
      <c r="B2202" s="446" t="s">
        <v>1607</v>
      </c>
      <c r="C2202" s="649" t="s">
        <v>1728</v>
      </c>
      <c r="D2202" s="444">
        <v>40857</v>
      </c>
      <c r="E2202" s="647"/>
      <c r="F2202" s="42" t="s">
        <v>1727</v>
      </c>
      <c r="H2202" s="283"/>
      <c r="I2202" s="283"/>
      <c r="J2202" s="445"/>
      <c r="K2202" s="283">
        <v>16500</v>
      </c>
      <c r="L2202" s="283"/>
      <c r="M2202" s="283">
        <f t="shared" si="341"/>
        <v>16500</v>
      </c>
      <c r="N2202" s="283"/>
      <c r="O2202" s="815"/>
      <c r="P2202" s="108" t="s">
        <v>103</v>
      </c>
      <c r="Q2202" s="351">
        <v>16500</v>
      </c>
      <c r="R2202" s="351">
        <v>16500</v>
      </c>
      <c r="S2202" s="933"/>
      <c r="T2202" s="933"/>
      <c r="U2202" s="933"/>
      <c r="W2202" s="42" t="s">
        <v>930</v>
      </c>
      <c r="X2202" s="16">
        <f t="shared" si="342"/>
        <v>16500</v>
      </c>
      <c r="Y2202" s="16">
        <f t="shared" si="343"/>
        <v>0</v>
      </c>
    </row>
    <row r="2203" spans="1:25" s="42" customFormat="1" ht="15">
      <c r="A2203" s="740"/>
      <c r="B2203" s="446" t="s">
        <v>1651</v>
      </c>
      <c r="C2203" s="649" t="s">
        <v>1729</v>
      </c>
      <c r="D2203" s="444">
        <v>40857</v>
      </c>
      <c r="E2203" s="647"/>
      <c r="F2203" s="42" t="s">
        <v>1653</v>
      </c>
      <c r="H2203" s="283"/>
      <c r="I2203" s="283"/>
      <c r="J2203" s="445"/>
      <c r="K2203" s="283">
        <v>2000</v>
      </c>
      <c r="L2203" s="283"/>
      <c r="M2203" s="283">
        <f t="shared" si="341"/>
        <v>2000</v>
      </c>
      <c r="N2203" s="283"/>
      <c r="O2203" s="815"/>
      <c r="P2203" s="108" t="s">
        <v>103</v>
      </c>
      <c r="Q2203" s="351">
        <v>2000</v>
      </c>
      <c r="R2203" s="351">
        <v>2000</v>
      </c>
      <c r="S2203" s="933"/>
      <c r="T2203" s="933"/>
      <c r="U2203" s="933"/>
      <c r="W2203" s="42" t="s">
        <v>930</v>
      </c>
      <c r="X2203" s="16">
        <f t="shared" si="342"/>
        <v>2000</v>
      </c>
      <c r="Y2203" s="16">
        <f t="shared" si="343"/>
        <v>0</v>
      </c>
    </row>
    <row r="2204" spans="1:25" s="42" customFormat="1" ht="15">
      <c r="A2204" s="740"/>
      <c r="B2204" s="446" t="s">
        <v>1639</v>
      </c>
      <c r="C2204" s="649" t="s">
        <v>1731</v>
      </c>
      <c r="D2204" s="444">
        <v>40857</v>
      </c>
      <c r="E2204" s="647"/>
      <c r="F2204" s="42" t="s">
        <v>1730</v>
      </c>
      <c r="H2204" s="283"/>
      <c r="I2204" s="283"/>
      <c r="J2204" s="445"/>
      <c r="K2204" s="283">
        <v>700</v>
      </c>
      <c r="L2204" s="283"/>
      <c r="M2204" s="283">
        <f t="shared" si="341"/>
        <v>700</v>
      </c>
      <c r="N2204" s="283"/>
      <c r="O2204" s="815"/>
      <c r="P2204" s="108" t="s">
        <v>103</v>
      </c>
      <c r="Q2204" s="351">
        <v>700</v>
      </c>
      <c r="R2204" s="351">
        <v>700</v>
      </c>
      <c r="S2204" s="933"/>
      <c r="T2204" s="933"/>
      <c r="U2204" s="933"/>
      <c r="W2204" s="42" t="s">
        <v>930</v>
      </c>
      <c r="X2204" s="16">
        <f t="shared" si="342"/>
        <v>700</v>
      </c>
      <c r="Y2204" s="16">
        <f t="shared" si="343"/>
        <v>0</v>
      </c>
    </row>
    <row r="2205" spans="1:25" s="42" customFormat="1" ht="15">
      <c r="A2205" s="740"/>
      <c r="B2205" s="446" t="s">
        <v>1675</v>
      </c>
      <c r="C2205" s="649" t="s">
        <v>1733</v>
      </c>
      <c r="D2205" s="444">
        <v>40858</v>
      </c>
      <c r="E2205" s="647"/>
      <c r="F2205" s="42" t="s">
        <v>1732</v>
      </c>
      <c r="H2205" s="283"/>
      <c r="I2205" s="283"/>
      <c r="J2205" s="445"/>
      <c r="K2205" s="283">
        <v>9945</v>
      </c>
      <c r="L2205" s="283"/>
      <c r="M2205" s="283">
        <f t="shared" si="341"/>
        <v>9945</v>
      </c>
      <c r="N2205" s="283"/>
      <c r="O2205" s="815"/>
      <c r="P2205" s="108" t="s">
        <v>103</v>
      </c>
      <c r="Q2205" s="351">
        <v>9945</v>
      </c>
      <c r="R2205" s="351">
        <v>9945</v>
      </c>
      <c r="S2205" s="933"/>
      <c r="T2205" s="933"/>
      <c r="U2205" s="933"/>
      <c r="W2205" s="42" t="s">
        <v>930</v>
      </c>
      <c r="X2205" s="16">
        <f t="shared" si="342"/>
        <v>9945</v>
      </c>
      <c r="Y2205" s="16">
        <f t="shared" si="343"/>
        <v>0</v>
      </c>
    </row>
    <row r="2206" spans="1:25" s="42" customFormat="1" ht="15">
      <c r="A2206" s="740"/>
      <c r="B2206" s="446" t="s">
        <v>1675</v>
      </c>
      <c r="C2206" s="649" t="s">
        <v>1734</v>
      </c>
      <c r="D2206" s="444">
        <v>40863</v>
      </c>
      <c r="E2206" s="647"/>
      <c r="F2206" s="42" t="s">
        <v>1694</v>
      </c>
      <c r="H2206" s="283"/>
      <c r="I2206" s="283"/>
      <c r="J2206" s="445"/>
      <c r="K2206" s="283">
        <v>1000</v>
      </c>
      <c r="L2206" s="283"/>
      <c r="M2206" s="283">
        <f t="shared" si="341"/>
        <v>1000</v>
      </c>
      <c r="N2206" s="283"/>
      <c r="O2206" s="815"/>
      <c r="P2206" s="108" t="s">
        <v>103</v>
      </c>
      <c r="Q2206" s="351">
        <v>1000</v>
      </c>
      <c r="R2206" s="351">
        <v>1000</v>
      </c>
      <c r="S2206" s="933"/>
      <c r="T2206" s="933"/>
      <c r="U2206" s="933"/>
      <c r="W2206" s="42" t="s">
        <v>930</v>
      </c>
      <c r="X2206" s="16">
        <f t="shared" si="342"/>
        <v>1000</v>
      </c>
      <c r="Y2206" s="16">
        <f t="shared" si="343"/>
        <v>0</v>
      </c>
    </row>
    <row r="2207" spans="1:25" s="42" customFormat="1" ht="15">
      <c r="A2207" s="740"/>
      <c r="B2207" s="446" t="s">
        <v>1639</v>
      </c>
      <c r="C2207" s="649" t="s">
        <v>1736</v>
      </c>
      <c r="D2207" s="444">
        <v>40863</v>
      </c>
      <c r="E2207" s="647"/>
      <c r="F2207" s="42" t="s">
        <v>1735</v>
      </c>
      <c r="H2207" s="283"/>
      <c r="I2207" s="283"/>
      <c r="J2207" s="445"/>
      <c r="K2207" s="283">
        <v>3750</v>
      </c>
      <c r="L2207" s="283"/>
      <c r="M2207" s="283">
        <f t="shared" si="341"/>
        <v>3750</v>
      </c>
      <c r="N2207" s="283"/>
      <c r="O2207" s="815"/>
      <c r="P2207" s="108" t="s">
        <v>103</v>
      </c>
      <c r="Q2207" s="351">
        <v>3750</v>
      </c>
      <c r="R2207" s="351">
        <v>3750</v>
      </c>
      <c r="S2207" s="933"/>
      <c r="T2207" s="933"/>
      <c r="U2207" s="933"/>
      <c r="W2207" s="42" t="s">
        <v>930</v>
      </c>
      <c r="X2207" s="16">
        <f t="shared" si="342"/>
        <v>3750</v>
      </c>
      <c r="Y2207" s="16">
        <f t="shared" si="343"/>
        <v>0</v>
      </c>
    </row>
    <row r="2208" spans="1:25" s="42" customFormat="1" ht="15">
      <c r="A2208" s="740"/>
      <c r="B2208" s="446" t="s">
        <v>1678</v>
      </c>
      <c r="C2208" s="649" t="s">
        <v>1738</v>
      </c>
      <c r="D2208" s="444">
        <v>40863</v>
      </c>
      <c r="E2208" s="647"/>
      <c r="F2208" s="42" t="s">
        <v>1737</v>
      </c>
      <c r="H2208" s="283"/>
      <c r="I2208" s="283"/>
      <c r="J2208" s="445"/>
      <c r="K2208" s="283">
        <v>20000</v>
      </c>
      <c r="L2208" s="283"/>
      <c r="M2208" s="283">
        <f t="shared" si="341"/>
        <v>20000</v>
      </c>
      <c r="N2208" s="283"/>
      <c r="O2208" s="815"/>
      <c r="P2208" s="108" t="s">
        <v>103</v>
      </c>
      <c r="Q2208" s="351">
        <v>20000</v>
      </c>
      <c r="R2208" s="351">
        <v>20000</v>
      </c>
      <c r="S2208" s="933"/>
      <c r="T2208" s="933"/>
      <c r="U2208" s="933"/>
      <c r="W2208" s="42" t="s">
        <v>930</v>
      </c>
      <c r="X2208" s="16">
        <f t="shared" si="342"/>
        <v>20000</v>
      </c>
      <c r="Y2208" s="16">
        <f t="shared" si="343"/>
        <v>0</v>
      </c>
    </row>
    <row r="2209" spans="1:25" s="42" customFormat="1" ht="15">
      <c r="A2209" s="740"/>
      <c r="B2209" s="446" t="s">
        <v>1642</v>
      </c>
      <c r="C2209" s="649" t="s">
        <v>1740</v>
      </c>
      <c r="D2209" s="444">
        <v>40863</v>
      </c>
      <c r="E2209" s="647"/>
      <c r="F2209" s="42" t="s">
        <v>1739</v>
      </c>
      <c r="H2209" s="283"/>
      <c r="I2209" s="283"/>
      <c r="J2209" s="445"/>
      <c r="K2209" s="283">
        <v>500</v>
      </c>
      <c r="L2209" s="283"/>
      <c r="M2209" s="283">
        <f t="shared" si="341"/>
        <v>500</v>
      </c>
      <c r="N2209" s="283"/>
      <c r="O2209" s="815"/>
      <c r="P2209" s="108" t="s">
        <v>103</v>
      </c>
      <c r="Q2209" s="351">
        <v>500</v>
      </c>
      <c r="R2209" s="351">
        <v>500</v>
      </c>
      <c r="S2209" s="933"/>
      <c r="T2209" s="933"/>
      <c r="U2209" s="933"/>
      <c r="W2209" s="42" t="s">
        <v>930</v>
      </c>
      <c r="X2209" s="16">
        <f t="shared" si="342"/>
        <v>500</v>
      </c>
      <c r="Y2209" s="16">
        <f t="shared" si="343"/>
        <v>0</v>
      </c>
    </row>
    <row r="2210" spans="1:25" s="42" customFormat="1" ht="15">
      <c r="A2210" s="740"/>
      <c r="B2210" s="446" t="s">
        <v>1561</v>
      </c>
      <c r="C2210" s="649" t="s">
        <v>1742</v>
      </c>
      <c r="D2210" s="444">
        <v>40871</v>
      </c>
      <c r="E2210" s="647"/>
      <c r="F2210" s="42" t="s">
        <v>1741</v>
      </c>
      <c r="H2210" s="283"/>
      <c r="I2210" s="283"/>
      <c r="J2210" s="445"/>
      <c r="K2210" s="283">
        <v>370</v>
      </c>
      <c r="L2210" s="283"/>
      <c r="M2210" s="283">
        <f t="shared" si="341"/>
        <v>370</v>
      </c>
      <c r="N2210" s="283"/>
      <c r="O2210" s="815"/>
      <c r="P2210" s="108" t="s">
        <v>103</v>
      </c>
      <c r="Q2210" s="522">
        <f>SUM(Q2211:Q2212)</f>
        <v>370</v>
      </c>
      <c r="R2210" s="522">
        <f>SUM(R2211:R2212)</f>
        <v>370</v>
      </c>
      <c r="S2210" s="933" t="s">
        <v>6005</v>
      </c>
      <c r="T2210" s="933"/>
      <c r="U2210" s="933"/>
      <c r="W2210" s="42" t="s">
        <v>930</v>
      </c>
      <c r="X2210" s="16">
        <f t="shared" si="342"/>
        <v>370</v>
      </c>
      <c r="Y2210" s="16">
        <f t="shared" si="343"/>
        <v>0</v>
      </c>
    </row>
    <row r="2211" spans="1:25" s="42" customFormat="1" ht="15">
      <c r="A2211" s="740"/>
      <c r="B2211" s="530" t="s">
        <v>1743</v>
      </c>
      <c r="C2211" s="649"/>
      <c r="D2211" s="444"/>
      <c r="E2211" s="329"/>
      <c r="H2211" s="283"/>
      <c r="I2211" s="283"/>
      <c r="J2211" s="445"/>
      <c r="K2211" s="283"/>
      <c r="L2211" s="283"/>
      <c r="M2211" s="283"/>
      <c r="N2211" s="283"/>
      <c r="O2211" s="815"/>
      <c r="P2211" s="164"/>
      <c r="Q2211" s="351">
        <v>320</v>
      </c>
      <c r="R2211" s="351">
        <v>320</v>
      </c>
      <c r="S2211" s="897" t="s">
        <v>1744</v>
      </c>
      <c r="T2211" s="933"/>
      <c r="U2211" s="933"/>
      <c r="X2211" s="16"/>
      <c r="Y2211" s="16"/>
    </row>
    <row r="2212" spans="1:25" s="42" customFormat="1" ht="30" customHeight="1">
      <c r="A2212" s="740"/>
      <c r="B2212" s="918" t="s">
        <v>1745</v>
      </c>
      <c r="C2212" s="649"/>
      <c r="D2212" s="444"/>
      <c r="E2212" s="329"/>
      <c r="H2212" s="283"/>
      <c r="I2212" s="283"/>
      <c r="J2212" s="445"/>
      <c r="K2212" s="283"/>
      <c r="L2212" s="283"/>
      <c r="M2212" s="283"/>
      <c r="N2212" s="283"/>
      <c r="O2212" s="815"/>
      <c r="P2212" s="164"/>
      <c r="Q2212" s="93">
        <v>50</v>
      </c>
      <c r="R2212" s="93">
        <v>50</v>
      </c>
      <c r="S2212" s="1386" t="s">
        <v>5820</v>
      </c>
      <c r="T2212" s="1386"/>
      <c r="U2212" s="1386"/>
      <c r="X2212" s="16"/>
      <c r="Y2212" s="16"/>
    </row>
    <row r="2213" spans="1:25" s="42" customFormat="1" ht="15">
      <c r="A2213" s="740"/>
      <c r="B2213" s="446"/>
      <c r="C2213" s="649"/>
      <c r="D2213" s="444"/>
      <c r="E2213" s="647"/>
      <c r="H2213" s="283"/>
      <c r="I2213" s="283"/>
      <c r="J2213" s="445"/>
      <c r="K2213" s="283"/>
      <c r="L2213" s="283"/>
      <c r="M2213" s="283"/>
      <c r="N2213" s="283"/>
      <c r="O2213" s="815"/>
      <c r="P2213" s="164"/>
      <c r="Q2213" s="351"/>
      <c r="R2213" s="351"/>
      <c r="S2213" s="933"/>
      <c r="T2213" s="933"/>
      <c r="U2213" s="933"/>
      <c r="X2213" s="16"/>
      <c r="Y2213" s="16"/>
    </row>
    <row r="2214" spans="1:25" s="42" customFormat="1" ht="15">
      <c r="A2214" s="740"/>
      <c r="B2214" s="446" t="s">
        <v>1675</v>
      </c>
      <c r="C2214" s="649" t="s">
        <v>1746</v>
      </c>
      <c r="D2214" s="444">
        <v>40857</v>
      </c>
      <c r="E2214" s="647"/>
      <c r="F2214" s="42" t="s">
        <v>364</v>
      </c>
      <c r="H2214" s="283"/>
      <c r="I2214" s="283"/>
      <c r="J2214" s="445"/>
      <c r="K2214" s="283">
        <v>5000</v>
      </c>
      <c r="L2214" s="283"/>
      <c r="M2214" s="283">
        <f t="shared" ref="M2214:M2227" si="344">SUM(K2214:L2214)</f>
        <v>5000</v>
      </c>
      <c r="N2214" s="283"/>
      <c r="O2214" s="815"/>
      <c r="P2214" s="108" t="s">
        <v>103</v>
      </c>
      <c r="Q2214" s="351">
        <v>5000</v>
      </c>
      <c r="R2214" s="351">
        <v>5000</v>
      </c>
      <c r="S2214" s="933"/>
      <c r="T2214" s="933"/>
      <c r="U2214" s="933"/>
      <c r="W2214" s="42" t="s">
        <v>930</v>
      </c>
      <c r="X2214" s="16">
        <f t="shared" ref="X2214:X2227" si="345">SUM(J2214:L2214)</f>
        <v>5000</v>
      </c>
      <c r="Y2214" s="16">
        <f t="shared" ref="Y2214:Y2227" si="346">X2214-M2214</f>
        <v>0</v>
      </c>
    </row>
    <row r="2215" spans="1:25" s="42" customFormat="1" ht="54.75" customHeight="1">
      <c r="A2215" s="740"/>
      <c r="B2215" s="101" t="s">
        <v>1600</v>
      </c>
      <c r="C2215" s="647" t="s">
        <v>1747</v>
      </c>
      <c r="D2215" s="527">
        <v>40884</v>
      </c>
      <c r="E2215" s="647"/>
      <c r="F2215" s="525" t="s">
        <v>1645</v>
      </c>
      <c r="G2215" s="525"/>
      <c r="H2215" s="21"/>
      <c r="I2215" s="21"/>
      <c r="J2215" s="528"/>
      <c r="K2215" s="21">
        <v>3000</v>
      </c>
      <c r="L2215" s="21"/>
      <c r="M2215" s="21">
        <f t="shared" si="344"/>
        <v>3000</v>
      </c>
      <c r="N2215" s="21"/>
      <c r="O2215" s="58"/>
      <c r="P2215" s="108" t="s">
        <v>103</v>
      </c>
      <c r="Q2215" s="93">
        <v>3000</v>
      </c>
      <c r="R2215" s="93">
        <v>3000</v>
      </c>
      <c r="S2215" s="1324" t="s">
        <v>1748</v>
      </c>
      <c r="T2215" s="1324"/>
      <c r="U2215" s="1324"/>
      <c r="V2215" s="525"/>
      <c r="W2215" s="525" t="s">
        <v>930</v>
      </c>
      <c r="X2215" s="16">
        <f t="shared" si="345"/>
        <v>3000</v>
      </c>
      <c r="Y2215" s="16">
        <f t="shared" si="346"/>
        <v>0</v>
      </c>
    </row>
    <row r="2216" spans="1:25" s="42" customFormat="1" ht="15">
      <c r="A2216" s="740"/>
      <c r="B2216" s="446" t="s">
        <v>1607</v>
      </c>
      <c r="C2216" s="649" t="s">
        <v>1750</v>
      </c>
      <c r="D2216" s="444">
        <v>40884</v>
      </c>
      <c r="E2216" s="647"/>
      <c r="F2216" s="42" t="s">
        <v>1749</v>
      </c>
      <c r="H2216" s="283"/>
      <c r="I2216" s="283"/>
      <c r="J2216" s="445"/>
      <c r="K2216" s="283">
        <v>13000</v>
      </c>
      <c r="L2216" s="283"/>
      <c r="M2216" s="283">
        <f t="shared" si="344"/>
        <v>13000</v>
      </c>
      <c r="N2216" s="283"/>
      <c r="O2216" s="815"/>
      <c r="P2216" s="108" t="s">
        <v>103</v>
      </c>
      <c r="Q2216" s="351">
        <v>13000</v>
      </c>
      <c r="R2216" s="351">
        <v>13000</v>
      </c>
      <c r="S2216" s="933"/>
      <c r="T2216" s="933"/>
      <c r="U2216" s="933"/>
      <c r="W2216" s="42" t="s">
        <v>930</v>
      </c>
      <c r="X2216" s="16">
        <f t="shared" si="345"/>
        <v>13000</v>
      </c>
      <c r="Y2216" s="16">
        <f t="shared" si="346"/>
        <v>0</v>
      </c>
    </row>
    <row r="2217" spans="1:25" s="42" customFormat="1" ht="60">
      <c r="A2217" s="740"/>
      <c r="B2217" s="101" t="s">
        <v>1751</v>
      </c>
      <c r="C2217" s="647" t="s">
        <v>1753</v>
      </c>
      <c r="D2217" s="527">
        <v>40884</v>
      </c>
      <c r="E2217" s="647"/>
      <c r="F2217" s="526" t="s">
        <v>1752</v>
      </c>
      <c r="G2217" s="526"/>
      <c r="H2217" s="21"/>
      <c r="I2217" s="21"/>
      <c r="J2217" s="528"/>
      <c r="K2217" s="21">
        <f>31666/1000</f>
        <v>31.666</v>
      </c>
      <c r="L2217" s="21"/>
      <c r="M2217" s="21">
        <f t="shared" si="344"/>
        <v>31.666</v>
      </c>
      <c r="N2217" s="283"/>
      <c r="O2217" s="815"/>
      <c r="P2217" s="108" t="s">
        <v>103</v>
      </c>
      <c r="Q2217" s="351">
        <v>31.666</v>
      </c>
      <c r="R2217" s="351">
        <v>31.666</v>
      </c>
      <c r="S2217" s="933"/>
      <c r="T2217" s="933"/>
      <c r="U2217" s="933"/>
      <c r="W2217" s="42" t="s">
        <v>930</v>
      </c>
      <c r="X2217" s="16">
        <f t="shared" si="345"/>
        <v>31.666</v>
      </c>
      <c r="Y2217" s="16">
        <f t="shared" si="346"/>
        <v>0</v>
      </c>
    </row>
    <row r="2218" spans="1:25" s="42" customFormat="1" ht="15">
      <c r="A2218" s="740"/>
      <c r="B2218" s="446" t="s">
        <v>1639</v>
      </c>
      <c r="C2218" s="649" t="s">
        <v>1755</v>
      </c>
      <c r="D2218" s="444">
        <v>40885</v>
      </c>
      <c r="E2218" s="647"/>
      <c r="F2218" s="42" t="s">
        <v>1754</v>
      </c>
      <c r="H2218" s="283"/>
      <c r="I2218" s="283"/>
      <c r="J2218" s="445"/>
      <c r="K2218" s="283">
        <v>1000</v>
      </c>
      <c r="L2218" s="283"/>
      <c r="M2218" s="283">
        <f t="shared" si="344"/>
        <v>1000</v>
      </c>
      <c r="N2218" s="283"/>
      <c r="O2218" s="815"/>
      <c r="P2218" s="108" t="s">
        <v>103</v>
      </c>
      <c r="Q2218" s="351">
        <v>1000</v>
      </c>
      <c r="R2218" s="351">
        <v>1000</v>
      </c>
      <c r="S2218" s="933"/>
      <c r="T2218" s="933"/>
      <c r="U2218" s="933"/>
      <c r="W2218" s="42" t="s">
        <v>930</v>
      </c>
      <c r="X2218" s="16">
        <f t="shared" si="345"/>
        <v>1000</v>
      </c>
      <c r="Y2218" s="16">
        <f t="shared" si="346"/>
        <v>0</v>
      </c>
    </row>
    <row r="2219" spans="1:25" s="42" customFormat="1" ht="15">
      <c r="A2219" s="740"/>
      <c r="B2219" s="446" t="s">
        <v>1616</v>
      </c>
      <c r="C2219" s="649" t="s">
        <v>1757</v>
      </c>
      <c r="D2219" s="444">
        <v>40890</v>
      </c>
      <c r="E2219" s="647"/>
      <c r="F2219" s="42" t="s">
        <v>1756</v>
      </c>
      <c r="H2219" s="283"/>
      <c r="I2219" s="283"/>
      <c r="J2219" s="445"/>
      <c r="K2219" s="283">
        <v>1000</v>
      </c>
      <c r="L2219" s="283"/>
      <c r="M2219" s="283">
        <f t="shared" si="344"/>
        <v>1000</v>
      </c>
      <c r="N2219" s="283"/>
      <c r="O2219" s="815"/>
      <c r="P2219" s="108" t="s">
        <v>103</v>
      </c>
      <c r="Q2219" s="351">
        <v>1000</v>
      </c>
      <c r="R2219" s="351">
        <v>1000</v>
      </c>
      <c r="S2219" s="933"/>
      <c r="T2219" s="933"/>
      <c r="U2219" s="933"/>
      <c r="W2219" s="42" t="s">
        <v>930</v>
      </c>
      <c r="X2219" s="16">
        <f t="shared" si="345"/>
        <v>1000</v>
      </c>
      <c r="Y2219" s="16">
        <f t="shared" si="346"/>
        <v>0</v>
      </c>
    </row>
    <row r="2220" spans="1:25" s="42" customFormat="1" ht="15">
      <c r="A2220" s="740"/>
      <c r="B2220" s="446" t="s">
        <v>1675</v>
      </c>
      <c r="C2220" s="649" t="s">
        <v>1759</v>
      </c>
      <c r="D2220" s="444">
        <v>40890</v>
      </c>
      <c r="E2220" s="647"/>
      <c r="F2220" s="42" t="s">
        <v>1758</v>
      </c>
      <c r="H2220" s="283"/>
      <c r="I2220" s="283"/>
      <c r="J2220" s="445"/>
      <c r="K2220" s="283">
        <v>500</v>
      </c>
      <c r="L2220" s="283"/>
      <c r="M2220" s="283">
        <f t="shared" si="344"/>
        <v>500</v>
      </c>
      <c r="N2220" s="283"/>
      <c r="O2220" s="815"/>
      <c r="P2220" s="108" t="s">
        <v>103</v>
      </c>
      <c r="Q2220" s="351">
        <v>500</v>
      </c>
      <c r="R2220" s="351">
        <v>500</v>
      </c>
      <c r="S2220" s="933"/>
      <c r="T2220" s="933"/>
      <c r="U2220" s="933"/>
      <c r="W2220" s="42" t="s">
        <v>930</v>
      </c>
      <c r="X2220" s="16">
        <f t="shared" si="345"/>
        <v>500</v>
      </c>
      <c r="Y2220" s="16">
        <f t="shared" si="346"/>
        <v>0</v>
      </c>
    </row>
    <row r="2221" spans="1:25" s="42" customFormat="1" ht="15">
      <c r="A2221" s="740"/>
      <c r="B2221" s="446" t="s">
        <v>1628</v>
      </c>
      <c r="C2221" s="649" t="s">
        <v>1761</v>
      </c>
      <c r="D2221" s="444">
        <v>40890</v>
      </c>
      <c r="E2221" s="647"/>
      <c r="F2221" s="42" t="s">
        <v>1760</v>
      </c>
      <c r="H2221" s="283"/>
      <c r="I2221" s="283"/>
      <c r="J2221" s="445"/>
      <c r="K2221" s="283">
        <v>200</v>
      </c>
      <c r="L2221" s="283"/>
      <c r="M2221" s="283">
        <f t="shared" si="344"/>
        <v>200</v>
      </c>
      <c r="N2221" s="283"/>
      <c r="O2221" s="815"/>
      <c r="P2221" s="108" t="s">
        <v>103</v>
      </c>
      <c r="Q2221" s="351">
        <v>200</v>
      </c>
      <c r="R2221" s="351">
        <v>200</v>
      </c>
      <c r="S2221" s="933"/>
      <c r="T2221" s="933"/>
      <c r="U2221" s="933"/>
      <c r="W2221" s="42" t="s">
        <v>930</v>
      </c>
      <c r="X2221" s="16">
        <f t="shared" si="345"/>
        <v>200</v>
      </c>
      <c r="Y2221" s="16">
        <f t="shared" si="346"/>
        <v>0</v>
      </c>
    </row>
    <row r="2222" spans="1:25" s="42" customFormat="1" ht="15">
      <c r="A2222" s="740"/>
      <c r="B2222" s="446" t="s">
        <v>1678</v>
      </c>
      <c r="C2222" s="649" t="s">
        <v>1762</v>
      </c>
      <c r="D2222" s="444">
        <v>40890</v>
      </c>
      <c r="E2222" s="647"/>
      <c r="F2222" s="42" t="s">
        <v>1737</v>
      </c>
      <c r="H2222" s="283"/>
      <c r="I2222" s="283"/>
      <c r="J2222" s="445"/>
      <c r="K2222" s="283">
        <v>5000</v>
      </c>
      <c r="L2222" s="283"/>
      <c r="M2222" s="283">
        <f t="shared" si="344"/>
        <v>5000</v>
      </c>
      <c r="N2222" s="283"/>
      <c r="O2222" s="815"/>
      <c r="P2222" s="108" t="s">
        <v>103</v>
      </c>
      <c r="Q2222" s="351">
        <v>5000</v>
      </c>
      <c r="R2222" s="351">
        <v>5000</v>
      </c>
      <c r="S2222" s="933"/>
      <c r="T2222" s="933"/>
      <c r="U2222" s="933"/>
      <c r="W2222" s="42" t="s">
        <v>930</v>
      </c>
      <c r="X2222" s="16">
        <f t="shared" si="345"/>
        <v>5000</v>
      </c>
      <c r="Y2222" s="16">
        <f t="shared" si="346"/>
        <v>0</v>
      </c>
    </row>
    <row r="2223" spans="1:25" s="42" customFormat="1" ht="15">
      <c r="A2223" s="740"/>
      <c r="B2223" s="446" t="s">
        <v>1607</v>
      </c>
      <c r="C2223" s="649" t="s">
        <v>1763</v>
      </c>
      <c r="D2223" s="444">
        <v>40890</v>
      </c>
      <c r="E2223" s="647"/>
      <c r="F2223" s="42" t="s">
        <v>315</v>
      </c>
      <c r="H2223" s="283"/>
      <c r="I2223" s="283"/>
      <c r="J2223" s="445"/>
      <c r="K2223" s="283">
        <v>6000</v>
      </c>
      <c r="L2223" s="283"/>
      <c r="M2223" s="283">
        <f t="shared" si="344"/>
        <v>6000</v>
      </c>
      <c r="N2223" s="283"/>
      <c r="O2223" s="815"/>
      <c r="P2223" s="108" t="s">
        <v>103</v>
      </c>
      <c r="Q2223" s="351">
        <v>6000</v>
      </c>
      <c r="R2223" s="351">
        <v>6000</v>
      </c>
      <c r="S2223" s="933"/>
      <c r="T2223" s="933"/>
      <c r="U2223" s="933"/>
      <c r="W2223" s="42" t="s">
        <v>930</v>
      </c>
      <c r="X2223" s="16">
        <f t="shared" si="345"/>
        <v>6000</v>
      </c>
      <c r="Y2223" s="16">
        <f t="shared" si="346"/>
        <v>0</v>
      </c>
    </row>
    <row r="2224" spans="1:25" s="42" customFormat="1" ht="15">
      <c r="A2224" s="740"/>
      <c r="B2224" s="446" t="s">
        <v>1651</v>
      </c>
      <c r="C2224" s="649" t="s">
        <v>1765</v>
      </c>
      <c r="D2224" s="444">
        <v>40890</v>
      </c>
      <c r="E2224" s="647"/>
      <c r="F2224" s="42" t="s">
        <v>1764</v>
      </c>
      <c r="H2224" s="283"/>
      <c r="I2224" s="283"/>
      <c r="J2224" s="445"/>
      <c r="K2224" s="283">
        <v>3000</v>
      </c>
      <c r="L2224" s="283"/>
      <c r="M2224" s="283">
        <f t="shared" si="344"/>
        <v>3000</v>
      </c>
      <c r="N2224" s="283"/>
      <c r="O2224" s="815"/>
      <c r="P2224" s="108" t="s">
        <v>103</v>
      </c>
      <c r="Q2224" s="351">
        <v>3000</v>
      </c>
      <c r="R2224" s="351">
        <v>3000</v>
      </c>
      <c r="S2224" s="933"/>
      <c r="T2224" s="933"/>
      <c r="U2224" s="933"/>
      <c r="W2224" s="42" t="s">
        <v>930</v>
      </c>
      <c r="X2224" s="16">
        <f t="shared" si="345"/>
        <v>3000</v>
      </c>
      <c r="Y2224" s="16">
        <f t="shared" si="346"/>
        <v>0</v>
      </c>
    </row>
    <row r="2225" spans="1:25" s="42" customFormat="1" ht="15">
      <c r="A2225" s="740"/>
      <c r="B2225" s="446" t="s">
        <v>1639</v>
      </c>
      <c r="C2225" s="649" t="s">
        <v>1766</v>
      </c>
      <c r="D2225" s="444">
        <v>40890</v>
      </c>
      <c r="E2225" s="647"/>
      <c r="F2225" s="42" t="s">
        <v>315</v>
      </c>
      <c r="H2225" s="283"/>
      <c r="I2225" s="283"/>
      <c r="J2225" s="445"/>
      <c r="K2225" s="283">
        <v>16200</v>
      </c>
      <c r="L2225" s="283"/>
      <c r="M2225" s="283">
        <f t="shared" si="344"/>
        <v>16200</v>
      </c>
      <c r="N2225" s="283"/>
      <c r="O2225" s="815"/>
      <c r="P2225" s="108" t="s">
        <v>103</v>
      </c>
      <c r="Q2225" s="351">
        <v>16200</v>
      </c>
      <c r="R2225" s="351">
        <v>16200</v>
      </c>
      <c r="S2225" s="933"/>
      <c r="T2225" s="933"/>
      <c r="U2225" s="933"/>
      <c r="W2225" s="42" t="s">
        <v>930</v>
      </c>
      <c r="X2225" s="16">
        <f t="shared" si="345"/>
        <v>16200</v>
      </c>
      <c r="Y2225" s="16">
        <f t="shared" si="346"/>
        <v>0</v>
      </c>
    </row>
    <row r="2226" spans="1:25" s="42" customFormat="1" ht="45">
      <c r="A2226" s="740"/>
      <c r="B2226" s="446" t="s">
        <v>1591</v>
      </c>
      <c r="C2226" s="649" t="s">
        <v>1768</v>
      </c>
      <c r="D2226" s="444">
        <v>40890</v>
      </c>
      <c r="E2226" s="647"/>
      <c r="F2226" s="42" t="s">
        <v>1767</v>
      </c>
      <c r="H2226" s="283"/>
      <c r="I2226" s="283"/>
      <c r="J2226" s="445"/>
      <c r="K2226" s="283">
        <v>1000</v>
      </c>
      <c r="L2226" s="283"/>
      <c r="M2226" s="283">
        <f t="shared" si="344"/>
        <v>1000</v>
      </c>
      <c r="N2226" s="283"/>
      <c r="O2226" s="815"/>
      <c r="P2226" s="108" t="s">
        <v>103</v>
      </c>
      <c r="Q2226" s="351">
        <v>1000</v>
      </c>
      <c r="R2226" s="351">
        <v>1000</v>
      </c>
      <c r="S2226" s="933" t="s">
        <v>6343</v>
      </c>
      <c r="T2226" s="933"/>
      <c r="U2226" s="933"/>
      <c r="W2226" s="42" t="s">
        <v>930</v>
      </c>
      <c r="X2226" s="16">
        <f t="shared" si="345"/>
        <v>1000</v>
      </c>
      <c r="Y2226" s="16">
        <f t="shared" si="346"/>
        <v>0</v>
      </c>
    </row>
    <row r="2227" spans="1:25" s="42" customFormat="1" ht="15">
      <c r="A2227" s="740"/>
      <c r="B2227" s="446" t="s">
        <v>1648</v>
      </c>
      <c r="C2227" s="649" t="s">
        <v>1769</v>
      </c>
      <c r="D2227" s="444">
        <v>40890</v>
      </c>
      <c r="E2227" s="647"/>
      <c r="F2227" s="42" t="s">
        <v>315</v>
      </c>
      <c r="H2227" s="283"/>
      <c r="I2227" s="283"/>
      <c r="J2227" s="445"/>
      <c r="K2227" s="283">
        <v>2200</v>
      </c>
      <c r="L2227" s="283"/>
      <c r="M2227" s="283">
        <f t="shared" si="344"/>
        <v>2200</v>
      </c>
      <c r="N2227" s="283"/>
      <c r="O2227" s="815"/>
      <c r="P2227" s="108" t="s">
        <v>103</v>
      </c>
      <c r="Q2227" s="522">
        <f>SUM(Q2228:Q2230)</f>
        <v>2200</v>
      </c>
      <c r="R2227" s="522">
        <f>SUM(R2228:R2230)</f>
        <v>2200</v>
      </c>
      <c r="S2227" s="933"/>
      <c r="T2227" s="933"/>
      <c r="U2227" s="933"/>
      <c r="W2227" s="42" t="s">
        <v>930</v>
      </c>
      <c r="X2227" s="16">
        <f t="shared" si="345"/>
        <v>2200</v>
      </c>
      <c r="Y2227" s="16">
        <f t="shared" si="346"/>
        <v>0</v>
      </c>
    </row>
    <row r="2228" spans="1:25" s="42" customFormat="1" ht="15">
      <c r="A2228" s="740"/>
      <c r="B2228" s="533" t="s">
        <v>1770</v>
      </c>
      <c r="C2228" s="649"/>
      <c r="D2228" s="444"/>
      <c r="E2228" s="108"/>
      <c r="H2228" s="283"/>
      <c r="I2228" s="283"/>
      <c r="J2228" s="445"/>
      <c r="K2228" s="283"/>
      <c r="L2228" s="283"/>
      <c r="M2228" s="283"/>
      <c r="N2228" s="283"/>
      <c r="O2228" s="815"/>
      <c r="P2228" s="164"/>
      <c r="Q2228" s="351">
        <v>1000</v>
      </c>
      <c r="R2228" s="351">
        <v>1000</v>
      </c>
      <c r="S2228" s="933">
        <v>1000</v>
      </c>
      <c r="T2228" s="933"/>
      <c r="U2228" s="933"/>
      <c r="X2228" s="16"/>
      <c r="Y2228" s="16"/>
    </row>
    <row r="2229" spans="1:25" s="42" customFormat="1" ht="15">
      <c r="A2229" s="740"/>
      <c r="B2229" s="534" t="s">
        <v>1771</v>
      </c>
      <c r="C2229" s="649"/>
      <c r="D2229" s="444"/>
      <c r="E2229" s="108"/>
      <c r="H2229" s="283"/>
      <c r="I2229" s="283"/>
      <c r="J2229" s="445"/>
      <c r="K2229" s="283"/>
      <c r="L2229" s="283"/>
      <c r="M2229" s="283"/>
      <c r="N2229" s="283"/>
      <c r="O2229" s="815"/>
      <c r="P2229" s="164"/>
      <c r="Q2229" s="351">
        <v>1000</v>
      </c>
      <c r="R2229" s="351">
        <v>1000</v>
      </c>
      <c r="S2229" s="933"/>
      <c r="T2229" s="933"/>
      <c r="U2229" s="933"/>
      <c r="X2229" s="16"/>
      <c r="Y2229" s="16"/>
    </row>
    <row r="2230" spans="1:25" s="42" customFormat="1" ht="15">
      <c r="A2230" s="740"/>
      <c r="B2230" s="534" t="s">
        <v>1772</v>
      </c>
      <c r="C2230" s="649"/>
      <c r="D2230" s="444"/>
      <c r="E2230" s="108"/>
      <c r="H2230" s="283"/>
      <c r="I2230" s="283"/>
      <c r="J2230" s="445"/>
      <c r="K2230" s="283"/>
      <c r="L2230" s="283"/>
      <c r="M2230" s="283"/>
      <c r="N2230" s="283"/>
      <c r="O2230" s="815"/>
      <c r="P2230" s="164"/>
      <c r="Q2230" s="351">
        <v>200</v>
      </c>
      <c r="R2230" s="351">
        <v>200</v>
      </c>
      <c r="S2230" s="933"/>
      <c r="T2230" s="933"/>
      <c r="U2230" s="933"/>
      <c r="X2230" s="16"/>
      <c r="Y2230" s="16"/>
    </row>
    <row r="2231" spans="1:25" s="42" customFormat="1" ht="15">
      <c r="A2231" s="740"/>
      <c r="B2231" s="446"/>
      <c r="C2231" s="649"/>
      <c r="D2231" s="444"/>
      <c r="E2231" s="647"/>
      <c r="H2231" s="283"/>
      <c r="I2231" s="283"/>
      <c r="J2231" s="445"/>
      <c r="K2231" s="283"/>
      <c r="L2231" s="283"/>
      <c r="M2231" s="283"/>
      <c r="N2231" s="283"/>
      <c r="O2231" s="815"/>
      <c r="P2231" s="164"/>
      <c r="Q2231" s="351"/>
      <c r="R2231" s="351"/>
      <c r="S2231" s="933"/>
      <c r="T2231" s="933"/>
      <c r="U2231" s="933"/>
      <c r="X2231" s="16"/>
      <c r="Y2231" s="16"/>
    </row>
    <row r="2232" spans="1:25" s="42" customFormat="1" ht="14.25" customHeight="1">
      <c r="A2232" s="740"/>
      <c r="B2232" s="446" t="s">
        <v>1687</v>
      </c>
      <c r="C2232" s="649" t="s">
        <v>1774</v>
      </c>
      <c r="D2232" s="444">
        <v>40890</v>
      </c>
      <c r="E2232" s="647"/>
      <c r="F2232" s="42" t="s">
        <v>1773</v>
      </c>
      <c r="H2232" s="283"/>
      <c r="I2232" s="283"/>
      <c r="J2232" s="445"/>
      <c r="K2232" s="283">
        <v>500</v>
      </c>
      <c r="L2232" s="283"/>
      <c r="M2232" s="283">
        <f t="shared" ref="M2232:M2234" si="347">SUM(K2232:L2232)</f>
        <v>500</v>
      </c>
      <c r="N2232" s="283"/>
      <c r="O2232" s="815"/>
      <c r="P2232" s="108" t="s">
        <v>103</v>
      </c>
      <c r="Q2232" s="351">
        <v>500</v>
      </c>
      <c r="R2232" s="351">
        <v>500</v>
      </c>
      <c r="S2232" s="933" t="s">
        <v>6239</v>
      </c>
      <c r="T2232" s="933"/>
      <c r="U2232" s="933"/>
      <c r="W2232" s="42" t="s">
        <v>930</v>
      </c>
      <c r="X2232" s="16">
        <f t="shared" ref="X2232:X2234" si="348">SUM(J2232:L2232)</f>
        <v>500</v>
      </c>
      <c r="Y2232" s="16">
        <f>X2232-M2232</f>
        <v>0</v>
      </c>
    </row>
    <row r="2233" spans="1:25" s="42" customFormat="1" ht="31.5" customHeight="1">
      <c r="A2233" s="740"/>
      <c r="B2233" s="101" t="s">
        <v>1594</v>
      </c>
      <c r="C2233" s="647" t="s">
        <v>1775</v>
      </c>
      <c r="D2233" s="527">
        <v>40890</v>
      </c>
      <c r="E2233" s="647"/>
      <c r="F2233" s="525" t="s">
        <v>315</v>
      </c>
      <c r="G2233" s="525"/>
      <c r="H2233" s="21"/>
      <c r="I2233" s="21"/>
      <c r="J2233" s="528"/>
      <c r="K2233" s="21">
        <v>35500</v>
      </c>
      <c r="L2233" s="21"/>
      <c r="M2233" s="21">
        <f t="shared" si="347"/>
        <v>35500</v>
      </c>
      <c r="N2233" s="21"/>
      <c r="O2233" s="58"/>
      <c r="P2233" s="108" t="s">
        <v>103</v>
      </c>
      <c r="Q2233" s="93">
        <v>35500</v>
      </c>
      <c r="R2233" s="93">
        <v>35500</v>
      </c>
      <c r="S2233" s="1323" t="s">
        <v>1776</v>
      </c>
      <c r="T2233" s="1323"/>
      <c r="U2233" s="1323"/>
      <c r="V2233" s="525"/>
      <c r="W2233" s="525" t="s">
        <v>930</v>
      </c>
      <c r="X2233" s="16">
        <f t="shared" si="348"/>
        <v>35500</v>
      </c>
      <c r="Y2233" s="16">
        <f>X2233-M2233</f>
        <v>0</v>
      </c>
    </row>
    <row r="2234" spans="1:25" s="42" customFormat="1" ht="15">
      <c r="A2234" s="740"/>
      <c r="B2234" s="446" t="s">
        <v>1600</v>
      </c>
      <c r="C2234" s="649" t="s">
        <v>1777</v>
      </c>
      <c r="D2234" s="444">
        <v>40890</v>
      </c>
      <c r="E2234" s="647"/>
      <c r="F2234" s="42" t="s">
        <v>315</v>
      </c>
      <c r="H2234" s="283"/>
      <c r="I2234" s="283"/>
      <c r="J2234" s="445"/>
      <c r="K2234" s="283">
        <v>21000</v>
      </c>
      <c r="L2234" s="283"/>
      <c r="M2234" s="283">
        <f t="shared" si="347"/>
        <v>21000</v>
      </c>
      <c r="N2234" s="283"/>
      <c r="O2234" s="815"/>
      <c r="P2234" s="108" t="s">
        <v>103</v>
      </c>
      <c r="Q2234" s="522">
        <f>SUM(Q2235:Q2276)</f>
        <v>21000</v>
      </c>
      <c r="R2234" s="522">
        <f>SUM(R2235:R2276)</f>
        <v>21000</v>
      </c>
      <c r="S2234" s="933"/>
      <c r="T2234" s="933"/>
      <c r="U2234" s="933"/>
      <c r="W2234" s="42" t="s">
        <v>930</v>
      </c>
      <c r="X2234" s="16">
        <f t="shared" si="348"/>
        <v>21000</v>
      </c>
      <c r="Y2234" s="16">
        <f>X2234-M2234</f>
        <v>0</v>
      </c>
    </row>
    <row r="2235" spans="1:25" s="42" customFormat="1" ht="15" customHeight="1">
      <c r="A2235" s="740"/>
      <c r="B2235" s="530" t="s">
        <v>1778</v>
      </c>
      <c r="C2235" s="649"/>
      <c r="D2235" s="444"/>
      <c r="E2235" s="784"/>
      <c r="H2235" s="283"/>
      <c r="I2235" s="283"/>
      <c r="J2235" s="445"/>
      <c r="K2235" s="283"/>
      <c r="L2235" s="283"/>
      <c r="M2235" s="283"/>
      <c r="N2235" s="283"/>
      <c r="O2235" s="815"/>
      <c r="P2235" s="164"/>
      <c r="Q2235" s="351">
        <v>500</v>
      </c>
      <c r="R2235" s="351">
        <v>500</v>
      </c>
      <c r="S2235" s="1324" t="s">
        <v>1779</v>
      </c>
      <c r="T2235" s="1324"/>
      <c r="U2235" s="1324"/>
      <c r="X2235" s="16"/>
      <c r="Y2235" s="16"/>
    </row>
    <row r="2236" spans="1:25" s="42" customFormat="1" ht="15">
      <c r="A2236" s="740"/>
      <c r="B2236" s="530" t="s">
        <v>1780</v>
      </c>
      <c r="C2236" s="649"/>
      <c r="D2236" s="444"/>
      <c r="E2236" s="784"/>
      <c r="H2236" s="283"/>
      <c r="I2236" s="283"/>
      <c r="J2236" s="445"/>
      <c r="K2236" s="283"/>
      <c r="L2236" s="283"/>
      <c r="M2236" s="283"/>
      <c r="N2236" s="283"/>
      <c r="O2236" s="815"/>
      <c r="P2236" s="164"/>
      <c r="Q2236" s="351">
        <v>500</v>
      </c>
      <c r="R2236" s="351">
        <v>500</v>
      </c>
      <c r="S2236" s="1324"/>
      <c r="T2236" s="1324"/>
      <c r="U2236" s="1324"/>
      <c r="X2236" s="16"/>
      <c r="Y2236" s="16"/>
    </row>
    <row r="2237" spans="1:25" s="42" customFormat="1" ht="15">
      <c r="A2237" s="740"/>
      <c r="B2237" s="530" t="s">
        <v>1781</v>
      </c>
      <c r="C2237" s="649"/>
      <c r="D2237" s="444"/>
      <c r="E2237" s="784"/>
      <c r="H2237" s="283"/>
      <c r="I2237" s="283"/>
      <c r="J2237" s="445"/>
      <c r="K2237" s="283"/>
      <c r="L2237" s="283"/>
      <c r="M2237" s="283"/>
      <c r="N2237" s="283"/>
      <c r="O2237" s="815"/>
      <c r="P2237" s="164"/>
      <c r="Q2237" s="351">
        <v>500</v>
      </c>
      <c r="R2237" s="351">
        <v>500</v>
      </c>
      <c r="S2237" s="933"/>
      <c r="T2237" s="933"/>
      <c r="U2237" s="933"/>
      <c r="X2237" s="16"/>
      <c r="Y2237" s="16"/>
    </row>
    <row r="2238" spans="1:25" s="42" customFormat="1" ht="15">
      <c r="A2238" s="740"/>
      <c r="B2238" s="530" t="s">
        <v>1782</v>
      </c>
      <c r="C2238" s="649"/>
      <c r="D2238" s="444"/>
      <c r="E2238" s="784"/>
      <c r="H2238" s="283"/>
      <c r="I2238" s="283"/>
      <c r="J2238" s="445"/>
      <c r="K2238" s="283"/>
      <c r="L2238" s="283"/>
      <c r="M2238" s="283"/>
      <c r="N2238" s="283"/>
      <c r="O2238" s="815"/>
      <c r="P2238" s="164"/>
      <c r="Q2238" s="351">
        <v>500</v>
      </c>
      <c r="R2238" s="351">
        <v>500</v>
      </c>
      <c r="S2238" s="933"/>
      <c r="T2238" s="933"/>
      <c r="U2238" s="933"/>
      <c r="X2238" s="16"/>
      <c r="Y2238" s="16"/>
    </row>
    <row r="2239" spans="1:25" s="42" customFormat="1" ht="15">
      <c r="A2239" s="740"/>
      <c r="B2239" s="530" t="s">
        <v>1783</v>
      </c>
      <c r="C2239" s="649"/>
      <c r="D2239" s="444"/>
      <c r="E2239" s="784"/>
      <c r="H2239" s="283"/>
      <c r="I2239" s="283"/>
      <c r="J2239" s="445"/>
      <c r="K2239" s="283"/>
      <c r="L2239" s="283"/>
      <c r="M2239" s="283"/>
      <c r="N2239" s="283"/>
      <c r="O2239" s="815"/>
      <c r="P2239" s="164"/>
      <c r="Q2239" s="351">
        <v>500</v>
      </c>
      <c r="R2239" s="351">
        <v>500</v>
      </c>
      <c r="S2239" s="933"/>
      <c r="T2239" s="933"/>
      <c r="U2239" s="933"/>
      <c r="X2239" s="16"/>
      <c r="Y2239" s="16"/>
    </row>
    <row r="2240" spans="1:25" s="42" customFormat="1" ht="15">
      <c r="A2240" s="740"/>
      <c r="B2240" s="530" t="s">
        <v>1784</v>
      </c>
      <c r="C2240" s="649"/>
      <c r="D2240" s="444"/>
      <c r="E2240" s="784"/>
      <c r="H2240" s="283"/>
      <c r="I2240" s="283"/>
      <c r="J2240" s="445"/>
      <c r="K2240" s="283"/>
      <c r="L2240" s="283"/>
      <c r="M2240" s="283"/>
      <c r="N2240" s="283"/>
      <c r="O2240" s="815"/>
      <c r="P2240" s="164"/>
      <c r="Q2240" s="351">
        <v>500</v>
      </c>
      <c r="R2240" s="351">
        <v>500</v>
      </c>
      <c r="S2240" s="933"/>
      <c r="T2240" s="933"/>
      <c r="U2240" s="933"/>
      <c r="X2240" s="16"/>
      <c r="Y2240" s="16"/>
    </row>
    <row r="2241" spans="1:25" s="42" customFormat="1" ht="15">
      <c r="A2241" s="740"/>
      <c r="B2241" s="530" t="s">
        <v>1785</v>
      </c>
      <c r="C2241" s="649"/>
      <c r="D2241" s="444"/>
      <c r="E2241" s="784"/>
      <c r="H2241" s="283"/>
      <c r="I2241" s="283"/>
      <c r="J2241" s="445"/>
      <c r="K2241" s="283"/>
      <c r="L2241" s="283"/>
      <c r="M2241" s="283"/>
      <c r="N2241" s="283"/>
      <c r="O2241" s="815"/>
      <c r="P2241" s="164"/>
      <c r="Q2241" s="351">
        <v>500</v>
      </c>
      <c r="R2241" s="351">
        <v>500</v>
      </c>
      <c r="S2241" s="933"/>
      <c r="T2241" s="933"/>
      <c r="U2241" s="933"/>
      <c r="X2241" s="16"/>
      <c r="Y2241" s="16"/>
    </row>
    <row r="2242" spans="1:25" s="42" customFormat="1" ht="15">
      <c r="A2242" s="740"/>
      <c r="B2242" s="530" t="s">
        <v>1786</v>
      </c>
      <c r="C2242" s="649"/>
      <c r="D2242" s="444"/>
      <c r="E2242" s="784"/>
      <c r="H2242" s="283"/>
      <c r="I2242" s="283"/>
      <c r="J2242" s="445"/>
      <c r="K2242" s="283"/>
      <c r="L2242" s="283"/>
      <c r="M2242" s="283"/>
      <c r="N2242" s="283"/>
      <c r="O2242" s="815"/>
      <c r="P2242" s="164"/>
      <c r="Q2242" s="351">
        <v>500</v>
      </c>
      <c r="R2242" s="351">
        <v>500</v>
      </c>
      <c r="S2242" s="933"/>
      <c r="T2242" s="933"/>
      <c r="U2242" s="933"/>
      <c r="X2242" s="16"/>
      <c r="Y2242" s="16"/>
    </row>
    <row r="2243" spans="1:25" s="42" customFormat="1" ht="15">
      <c r="A2243" s="740"/>
      <c r="B2243" s="530" t="s">
        <v>1787</v>
      </c>
      <c r="C2243" s="649"/>
      <c r="D2243" s="444"/>
      <c r="E2243" s="784"/>
      <c r="H2243" s="283"/>
      <c r="I2243" s="283"/>
      <c r="J2243" s="445"/>
      <c r="K2243" s="283"/>
      <c r="L2243" s="283"/>
      <c r="M2243" s="283"/>
      <c r="N2243" s="283"/>
      <c r="O2243" s="815"/>
      <c r="P2243" s="164"/>
      <c r="Q2243" s="351">
        <v>500</v>
      </c>
      <c r="R2243" s="351">
        <v>500</v>
      </c>
      <c r="S2243" s="933"/>
      <c r="T2243" s="933"/>
      <c r="U2243" s="933"/>
      <c r="X2243" s="16"/>
      <c r="Y2243" s="16"/>
    </row>
    <row r="2244" spans="1:25" s="42" customFormat="1" ht="15">
      <c r="A2244" s="740"/>
      <c r="B2244" s="530" t="s">
        <v>1788</v>
      </c>
      <c r="C2244" s="649"/>
      <c r="D2244" s="444"/>
      <c r="E2244" s="784"/>
      <c r="H2244" s="283"/>
      <c r="I2244" s="283"/>
      <c r="J2244" s="445"/>
      <c r="K2244" s="283"/>
      <c r="L2244" s="283"/>
      <c r="M2244" s="283"/>
      <c r="N2244" s="283"/>
      <c r="O2244" s="815"/>
      <c r="P2244" s="164"/>
      <c r="Q2244" s="351">
        <v>500</v>
      </c>
      <c r="R2244" s="351">
        <v>500</v>
      </c>
      <c r="S2244" s="933"/>
      <c r="T2244" s="933"/>
      <c r="U2244" s="933"/>
      <c r="X2244" s="16"/>
      <c r="Y2244" s="16"/>
    </row>
    <row r="2245" spans="1:25" s="42" customFormat="1" ht="15">
      <c r="A2245" s="740"/>
      <c r="B2245" s="530" t="s">
        <v>1789</v>
      </c>
      <c r="C2245" s="649"/>
      <c r="D2245" s="444"/>
      <c r="E2245" s="784"/>
      <c r="H2245" s="283"/>
      <c r="I2245" s="283"/>
      <c r="J2245" s="445"/>
      <c r="K2245" s="283"/>
      <c r="L2245" s="283"/>
      <c r="M2245" s="283"/>
      <c r="N2245" s="283"/>
      <c r="O2245" s="815"/>
      <c r="P2245" s="164"/>
      <c r="Q2245" s="351">
        <v>500</v>
      </c>
      <c r="R2245" s="351">
        <v>500</v>
      </c>
      <c r="S2245" s="933"/>
      <c r="T2245" s="933"/>
      <c r="U2245" s="933"/>
      <c r="X2245" s="16"/>
      <c r="Y2245" s="16"/>
    </row>
    <row r="2246" spans="1:25" s="42" customFormat="1" ht="15">
      <c r="A2246" s="740"/>
      <c r="B2246" s="530" t="s">
        <v>1790</v>
      </c>
      <c r="C2246" s="649"/>
      <c r="D2246" s="444"/>
      <c r="E2246" s="784"/>
      <c r="H2246" s="283"/>
      <c r="I2246" s="283"/>
      <c r="J2246" s="445"/>
      <c r="K2246" s="283"/>
      <c r="L2246" s="283"/>
      <c r="M2246" s="283"/>
      <c r="N2246" s="283"/>
      <c r="O2246" s="815"/>
      <c r="P2246" s="164"/>
      <c r="Q2246" s="351">
        <v>500</v>
      </c>
      <c r="R2246" s="351">
        <v>500</v>
      </c>
      <c r="S2246" s="933"/>
      <c r="T2246" s="933"/>
      <c r="U2246" s="933"/>
      <c r="X2246" s="16"/>
      <c r="Y2246" s="16"/>
    </row>
    <row r="2247" spans="1:25" s="42" customFormat="1" ht="15">
      <c r="A2247" s="740"/>
      <c r="B2247" s="530" t="s">
        <v>1791</v>
      </c>
      <c r="C2247" s="649"/>
      <c r="D2247" s="444"/>
      <c r="E2247" s="784"/>
      <c r="H2247" s="283"/>
      <c r="I2247" s="283"/>
      <c r="J2247" s="445"/>
      <c r="K2247" s="283"/>
      <c r="L2247" s="283"/>
      <c r="M2247" s="283"/>
      <c r="N2247" s="283"/>
      <c r="O2247" s="815"/>
      <c r="P2247" s="164"/>
      <c r="Q2247" s="351">
        <v>500</v>
      </c>
      <c r="R2247" s="351">
        <v>500</v>
      </c>
      <c r="S2247" s="933"/>
      <c r="T2247" s="933"/>
      <c r="U2247" s="933"/>
      <c r="X2247" s="16"/>
      <c r="Y2247" s="16"/>
    </row>
    <row r="2248" spans="1:25" s="42" customFormat="1" ht="15">
      <c r="A2248" s="740"/>
      <c r="B2248" s="530" t="s">
        <v>1792</v>
      </c>
      <c r="C2248" s="649"/>
      <c r="D2248" s="444"/>
      <c r="E2248" s="784"/>
      <c r="H2248" s="283"/>
      <c r="I2248" s="283"/>
      <c r="J2248" s="445"/>
      <c r="K2248" s="283"/>
      <c r="L2248" s="283"/>
      <c r="M2248" s="283"/>
      <c r="N2248" s="283"/>
      <c r="O2248" s="815"/>
      <c r="P2248" s="164"/>
      <c r="Q2248" s="351">
        <v>500</v>
      </c>
      <c r="R2248" s="351">
        <v>500</v>
      </c>
      <c r="S2248" s="933"/>
      <c r="T2248" s="933"/>
      <c r="U2248" s="933"/>
      <c r="X2248" s="16"/>
      <c r="Y2248" s="16"/>
    </row>
    <row r="2249" spans="1:25" s="42" customFormat="1" ht="15">
      <c r="A2249" s="740"/>
      <c r="B2249" s="530" t="s">
        <v>1793</v>
      </c>
      <c r="C2249" s="649"/>
      <c r="D2249" s="444"/>
      <c r="E2249" s="784"/>
      <c r="H2249" s="283"/>
      <c r="I2249" s="283"/>
      <c r="J2249" s="445"/>
      <c r="K2249" s="283"/>
      <c r="L2249" s="283"/>
      <c r="M2249" s="283"/>
      <c r="N2249" s="283"/>
      <c r="O2249" s="815"/>
      <c r="P2249" s="164"/>
      <c r="Q2249" s="351">
        <v>500</v>
      </c>
      <c r="R2249" s="351">
        <v>500</v>
      </c>
      <c r="S2249" s="933"/>
      <c r="T2249" s="933"/>
      <c r="U2249" s="933"/>
      <c r="X2249" s="16"/>
      <c r="Y2249" s="16"/>
    </row>
    <row r="2250" spans="1:25" s="42" customFormat="1" ht="15">
      <c r="A2250" s="740"/>
      <c r="B2250" s="530" t="s">
        <v>1794</v>
      </c>
      <c r="C2250" s="649"/>
      <c r="D2250" s="444"/>
      <c r="E2250" s="784"/>
      <c r="H2250" s="283"/>
      <c r="I2250" s="283"/>
      <c r="J2250" s="445"/>
      <c r="K2250" s="283"/>
      <c r="L2250" s="283"/>
      <c r="M2250" s="283"/>
      <c r="N2250" s="283"/>
      <c r="O2250" s="815"/>
      <c r="P2250" s="164"/>
      <c r="Q2250" s="351">
        <v>500</v>
      </c>
      <c r="R2250" s="351">
        <v>500</v>
      </c>
      <c r="S2250" s="933"/>
      <c r="T2250" s="933"/>
      <c r="U2250" s="933"/>
      <c r="X2250" s="16"/>
      <c r="Y2250" s="16"/>
    </row>
    <row r="2251" spans="1:25" s="42" customFormat="1" ht="15">
      <c r="A2251" s="740"/>
      <c r="B2251" s="530" t="s">
        <v>1795</v>
      </c>
      <c r="C2251" s="649"/>
      <c r="D2251" s="444"/>
      <c r="E2251" s="784"/>
      <c r="H2251" s="283"/>
      <c r="I2251" s="283"/>
      <c r="J2251" s="445"/>
      <c r="K2251" s="283"/>
      <c r="L2251" s="283"/>
      <c r="M2251" s="283"/>
      <c r="N2251" s="283"/>
      <c r="O2251" s="815"/>
      <c r="P2251" s="164"/>
      <c r="Q2251" s="351">
        <v>500</v>
      </c>
      <c r="R2251" s="351">
        <v>500</v>
      </c>
      <c r="S2251" s="933"/>
      <c r="T2251" s="933"/>
      <c r="U2251" s="933"/>
      <c r="X2251" s="16"/>
      <c r="Y2251" s="16"/>
    </row>
    <row r="2252" spans="1:25" s="42" customFormat="1" ht="15">
      <c r="A2252" s="740"/>
      <c r="B2252" s="530" t="s">
        <v>1796</v>
      </c>
      <c r="C2252" s="649"/>
      <c r="D2252" s="444"/>
      <c r="E2252" s="784"/>
      <c r="H2252" s="283"/>
      <c r="I2252" s="283"/>
      <c r="J2252" s="445"/>
      <c r="K2252" s="283"/>
      <c r="L2252" s="283"/>
      <c r="M2252" s="283"/>
      <c r="N2252" s="283"/>
      <c r="O2252" s="815"/>
      <c r="P2252" s="164"/>
      <c r="Q2252" s="351">
        <v>500</v>
      </c>
      <c r="R2252" s="351">
        <v>500</v>
      </c>
      <c r="S2252" s="933"/>
      <c r="T2252" s="933"/>
      <c r="U2252" s="933"/>
      <c r="X2252" s="16"/>
      <c r="Y2252" s="16"/>
    </row>
    <row r="2253" spans="1:25" s="42" customFormat="1" ht="15">
      <c r="A2253" s="740"/>
      <c r="B2253" s="530" t="s">
        <v>1797</v>
      </c>
      <c r="C2253" s="649"/>
      <c r="D2253" s="444"/>
      <c r="E2253" s="784"/>
      <c r="H2253" s="283"/>
      <c r="I2253" s="283"/>
      <c r="J2253" s="445"/>
      <c r="K2253" s="283"/>
      <c r="L2253" s="283"/>
      <c r="M2253" s="283"/>
      <c r="N2253" s="283"/>
      <c r="O2253" s="815"/>
      <c r="P2253" s="164"/>
      <c r="Q2253" s="351">
        <v>500</v>
      </c>
      <c r="R2253" s="351">
        <v>500</v>
      </c>
      <c r="S2253" s="933"/>
      <c r="T2253" s="933"/>
      <c r="U2253" s="933"/>
      <c r="X2253" s="16"/>
      <c r="Y2253" s="16"/>
    </row>
    <row r="2254" spans="1:25" s="42" customFormat="1" ht="15">
      <c r="A2254" s="740"/>
      <c r="B2254" s="530" t="s">
        <v>1798</v>
      </c>
      <c r="C2254" s="649"/>
      <c r="D2254" s="444"/>
      <c r="E2254" s="784"/>
      <c r="H2254" s="283"/>
      <c r="I2254" s="283"/>
      <c r="J2254" s="445"/>
      <c r="K2254" s="283"/>
      <c r="L2254" s="283"/>
      <c r="M2254" s="283"/>
      <c r="N2254" s="283"/>
      <c r="O2254" s="815"/>
      <c r="P2254" s="164"/>
      <c r="Q2254" s="351">
        <v>500</v>
      </c>
      <c r="R2254" s="351">
        <v>500</v>
      </c>
      <c r="S2254" s="933"/>
      <c r="T2254" s="933"/>
      <c r="U2254" s="933"/>
      <c r="X2254" s="16"/>
      <c r="Y2254" s="16"/>
    </row>
    <row r="2255" spans="1:25" s="42" customFormat="1" ht="15">
      <c r="A2255" s="740"/>
      <c r="B2255" s="530" t="s">
        <v>1799</v>
      </c>
      <c r="C2255" s="649"/>
      <c r="D2255" s="444"/>
      <c r="E2255" s="784"/>
      <c r="H2255" s="283"/>
      <c r="I2255" s="283"/>
      <c r="J2255" s="445"/>
      <c r="K2255" s="283"/>
      <c r="L2255" s="283"/>
      <c r="M2255" s="283"/>
      <c r="N2255" s="283"/>
      <c r="O2255" s="815"/>
      <c r="P2255" s="164"/>
      <c r="Q2255" s="351">
        <v>500</v>
      </c>
      <c r="R2255" s="351">
        <v>500</v>
      </c>
      <c r="S2255" s="933"/>
      <c r="T2255" s="933"/>
      <c r="U2255" s="933"/>
      <c r="X2255" s="16"/>
      <c r="Y2255" s="16"/>
    </row>
    <row r="2256" spans="1:25" s="42" customFormat="1" ht="15">
      <c r="A2256" s="740"/>
      <c r="B2256" s="530" t="s">
        <v>1800</v>
      </c>
      <c r="C2256" s="649"/>
      <c r="D2256" s="444"/>
      <c r="E2256" s="784"/>
      <c r="H2256" s="283"/>
      <c r="I2256" s="283"/>
      <c r="J2256" s="445"/>
      <c r="K2256" s="283"/>
      <c r="L2256" s="283"/>
      <c r="M2256" s="283"/>
      <c r="N2256" s="283"/>
      <c r="O2256" s="815"/>
      <c r="P2256" s="164"/>
      <c r="Q2256" s="351">
        <v>500</v>
      </c>
      <c r="R2256" s="351">
        <v>500</v>
      </c>
      <c r="S2256" s="933"/>
      <c r="T2256" s="933"/>
      <c r="U2256" s="933"/>
      <c r="X2256" s="16"/>
      <c r="Y2256" s="16"/>
    </row>
    <row r="2257" spans="1:25" s="42" customFormat="1" ht="15">
      <c r="A2257" s="740"/>
      <c r="B2257" s="530" t="s">
        <v>1801</v>
      </c>
      <c r="C2257" s="649"/>
      <c r="D2257" s="444"/>
      <c r="E2257" s="784"/>
      <c r="H2257" s="283"/>
      <c r="I2257" s="283"/>
      <c r="J2257" s="445"/>
      <c r="K2257" s="283"/>
      <c r="L2257" s="283"/>
      <c r="M2257" s="283"/>
      <c r="N2257" s="283"/>
      <c r="O2257" s="815"/>
      <c r="P2257" s="164"/>
      <c r="Q2257" s="351">
        <v>500</v>
      </c>
      <c r="R2257" s="351">
        <v>500</v>
      </c>
      <c r="S2257" s="933"/>
      <c r="T2257" s="933"/>
      <c r="U2257" s="933"/>
      <c r="X2257" s="16"/>
      <c r="Y2257" s="16"/>
    </row>
    <row r="2258" spans="1:25" s="42" customFormat="1" ht="15">
      <c r="A2258" s="740"/>
      <c r="B2258" s="530" t="s">
        <v>1802</v>
      </c>
      <c r="C2258" s="649"/>
      <c r="D2258" s="444"/>
      <c r="E2258" s="784"/>
      <c r="H2258" s="283"/>
      <c r="I2258" s="283"/>
      <c r="J2258" s="445"/>
      <c r="K2258" s="283"/>
      <c r="L2258" s="283"/>
      <c r="M2258" s="283"/>
      <c r="N2258" s="283"/>
      <c r="O2258" s="815"/>
      <c r="P2258" s="164"/>
      <c r="Q2258" s="351">
        <v>500</v>
      </c>
      <c r="R2258" s="351">
        <v>500</v>
      </c>
      <c r="S2258" s="933"/>
      <c r="T2258" s="933"/>
      <c r="U2258" s="933"/>
      <c r="X2258" s="16"/>
      <c r="Y2258" s="16"/>
    </row>
    <row r="2259" spans="1:25" s="42" customFormat="1" ht="15">
      <c r="A2259" s="740"/>
      <c r="B2259" s="530" t="s">
        <v>1803</v>
      </c>
      <c r="C2259" s="649"/>
      <c r="D2259" s="444"/>
      <c r="E2259" s="784"/>
      <c r="H2259" s="283"/>
      <c r="I2259" s="283"/>
      <c r="J2259" s="445"/>
      <c r="K2259" s="283"/>
      <c r="L2259" s="283"/>
      <c r="M2259" s="283"/>
      <c r="N2259" s="283"/>
      <c r="O2259" s="815"/>
      <c r="P2259" s="164"/>
      <c r="Q2259" s="351">
        <v>500</v>
      </c>
      <c r="R2259" s="351">
        <v>500</v>
      </c>
      <c r="S2259" s="933"/>
      <c r="T2259" s="933"/>
      <c r="U2259" s="933"/>
      <c r="X2259" s="16"/>
      <c r="Y2259" s="16"/>
    </row>
    <row r="2260" spans="1:25" s="42" customFormat="1" ht="15">
      <c r="A2260" s="740"/>
      <c r="B2260" s="530" t="s">
        <v>1804</v>
      </c>
      <c r="C2260" s="649"/>
      <c r="D2260" s="444"/>
      <c r="E2260" s="784"/>
      <c r="H2260" s="283"/>
      <c r="I2260" s="283"/>
      <c r="J2260" s="445"/>
      <c r="K2260" s="283"/>
      <c r="L2260" s="283"/>
      <c r="M2260" s="283"/>
      <c r="N2260" s="283"/>
      <c r="O2260" s="815"/>
      <c r="P2260" s="164"/>
      <c r="Q2260" s="351">
        <v>500</v>
      </c>
      <c r="R2260" s="351">
        <v>500</v>
      </c>
      <c r="S2260" s="933"/>
      <c r="T2260" s="933"/>
      <c r="U2260" s="933"/>
      <c r="X2260" s="16"/>
      <c r="Y2260" s="16"/>
    </row>
    <row r="2261" spans="1:25" s="42" customFormat="1" ht="15">
      <c r="A2261" s="740"/>
      <c r="B2261" s="530" t="s">
        <v>1805</v>
      </c>
      <c r="C2261" s="649"/>
      <c r="D2261" s="444"/>
      <c r="E2261" s="784"/>
      <c r="H2261" s="283"/>
      <c r="I2261" s="283"/>
      <c r="J2261" s="445"/>
      <c r="K2261" s="283"/>
      <c r="L2261" s="283"/>
      <c r="M2261" s="283"/>
      <c r="N2261" s="283"/>
      <c r="O2261" s="815"/>
      <c r="P2261" s="164"/>
      <c r="Q2261" s="351">
        <v>500</v>
      </c>
      <c r="R2261" s="351">
        <v>500</v>
      </c>
      <c r="S2261" s="933"/>
      <c r="T2261" s="933"/>
      <c r="U2261" s="933"/>
      <c r="X2261" s="16"/>
      <c r="Y2261" s="16"/>
    </row>
    <row r="2262" spans="1:25" s="42" customFormat="1" ht="15">
      <c r="A2262" s="740"/>
      <c r="B2262" s="530" t="s">
        <v>1806</v>
      </c>
      <c r="C2262" s="649"/>
      <c r="D2262" s="444"/>
      <c r="E2262" s="784"/>
      <c r="H2262" s="283"/>
      <c r="I2262" s="283"/>
      <c r="J2262" s="445"/>
      <c r="K2262" s="283"/>
      <c r="L2262" s="283"/>
      <c r="M2262" s="283"/>
      <c r="N2262" s="283"/>
      <c r="O2262" s="815"/>
      <c r="P2262" s="164"/>
      <c r="Q2262" s="351">
        <v>500</v>
      </c>
      <c r="R2262" s="351">
        <v>500</v>
      </c>
      <c r="S2262" s="933"/>
      <c r="T2262" s="933"/>
      <c r="U2262" s="933"/>
      <c r="X2262" s="16"/>
      <c r="Y2262" s="16"/>
    </row>
    <row r="2263" spans="1:25" s="42" customFormat="1" ht="15">
      <c r="A2263" s="740"/>
      <c r="B2263" s="530" t="s">
        <v>1807</v>
      </c>
      <c r="C2263" s="649"/>
      <c r="D2263" s="444"/>
      <c r="E2263" s="784"/>
      <c r="H2263" s="283"/>
      <c r="I2263" s="283"/>
      <c r="J2263" s="445"/>
      <c r="K2263" s="283"/>
      <c r="L2263" s="283"/>
      <c r="M2263" s="283"/>
      <c r="N2263" s="283"/>
      <c r="O2263" s="815"/>
      <c r="P2263" s="164"/>
      <c r="Q2263" s="351">
        <v>500</v>
      </c>
      <c r="R2263" s="351">
        <v>500</v>
      </c>
      <c r="S2263" s="933"/>
      <c r="T2263" s="933"/>
      <c r="U2263" s="933"/>
      <c r="X2263" s="16"/>
      <c r="Y2263" s="16"/>
    </row>
    <row r="2264" spans="1:25" s="42" customFormat="1" ht="15">
      <c r="A2264" s="740"/>
      <c r="B2264" s="530" t="s">
        <v>1808</v>
      </c>
      <c r="C2264" s="649"/>
      <c r="D2264" s="444"/>
      <c r="E2264" s="784"/>
      <c r="H2264" s="283"/>
      <c r="I2264" s="283"/>
      <c r="J2264" s="445"/>
      <c r="K2264" s="283"/>
      <c r="L2264" s="283"/>
      <c r="M2264" s="283"/>
      <c r="N2264" s="283"/>
      <c r="O2264" s="815"/>
      <c r="P2264" s="164"/>
      <c r="Q2264" s="351">
        <v>500</v>
      </c>
      <c r="R2264" s="351">
        <v>500</v>
      </c>
      <c r="S2264" s="933"/>
      <c r="T2264" s="933"/>
      <c r="U2264" s="933"/>
      <c r="X2264" s="16"/>
      <c r="Y2264" s="16"/>
    </row>
    <row r="2265" spans="1:25" s="42" customFormat="1" ht="15">
      <c r="A2265" s="740"/>
      <c r="B2265" s="530" t="s">
        <v>1809</v>
      </c>
      <c r="C2265" s="649"/>
      <c r="D2265" s="444"/>
      <c r="E2265" s="784"/>
      <c r="H2265" s="283"/>
      <c r="I2265" s="283"/>
      <c r="J2265" s="445"/>
      <c r="K2265" s="283"/>
      <c r="L2265" s="283"/>
      <c r="M2265" s="283"/>
      <c r="N2265" s="283"/>
      <c r="O2265" s="815"/>
      <c r="P2265" s="164"/>
      <c r="Q2265" s="351">
        <v>500</v>
      </c>
      <c r="R2265" s="351">
        <v>500</v>
      </c>
      <c r="S2265" s="933"/>
      <c r="T2265" s="933"/>
      <c r="U2265" s="933"/>
      <c r="X2265" s="16"/>
      <c r="Y2265" s="16"/>
    </row>
    <row r="2266" spans="1:25" s="42" customFormat="1" ht="15">
      <c r="A2266" s="740"/>
      <c r="B2266" s="530" t="s">
        <v>1810</v>
      </c>
      <c r="C2266" s="649"/>
      <c r="D2266" s="444"/>
      <c r="E2266" s="784"/>
      <c r="H2266" s="283"/>
      <c r="I2266" s="283"/>
      <c r="J2266" s="445"/>
      <c r="K2266" s="283"/>
      <c r="L2266" s="283"/>
      <c r="M2266" s="283"/>
      <c r="N2266" s="283"/>
      <c r="O2266" s="815"/>
      <c r="P2266" s="164"/>
      <c r="Q2266" s="351">
        <v>500</v>
      </c>
      <c r="R2266" s="351">
        <v>500</v>
      </c>
      <c r="S2266" s="933"/>
      <c r="T2266" s="933"/>
      <c r="U2266" s="933"/>
      <c r="X2266" s="16"/>
      <c r="Y2266" s="16"/>
    </row>
    <row r="2267" spans="1:25" s="42" customFormat="1" ht="15">
      <c r="A2267" s="740"/>
      <c r="B2267" s="530" t="s">
        <v>1811</v>
      </c>
      <c r="C2267" s="649"/>
      <c r="D2267" s="444"/>
      <c r="E2267" s="784"/>
      <c r="H2267" s="283"/>
      <c r="I2267" s="283"/>
      <c r="J2267" s="445"/>
      <c r="K2267" s="283"/>
      <c r="L2267" s="283"/>
      <c r="M2267" s="283"/>
      <c r="N2267" s="283"/>
      <c r="O2267" s="815"/>
      <c r="P2267" s="164"/>
      <c r="Q2267" s="351">
        <v>500</v>
      </c>
      <c r="R2267" s="351">
        <v>500</v>
      </c>
      <c r="S2267" s="933"/>
      <c r="T2267" s="933"/>
      <c r="U2267" s="933"/>
      <c r="X2267" s="16"/>
      <c r="Y2267" s="16"/>
    </row>
    <row r="2268" spans="1:25" s="42" customFormat="1" ht="15">
      <c r="A2268" s="740"/>
      <c r="B2268" s="530" t="s">
        <v>1812</v>
      </c>
      <c r="C2268" s="649"/>
      <c r="D2268" s="444"/>
      <c r="E2268" s="784"/>
      <c r="H2268" s="283"/>
      <c r="I2268" s="283"/>
      <c r="J2268" s="445"/>
      <c r="K2268" s="283"/>
      <c r="L2268" s="283"/>
      <c r="M2268" s="283"/>
      <c r="N2268" s="283"/>
      <c r="O2268" s="815"/>
      <c r="P2268" s="164"/>
      <c r="Q2268" s="351">
        <v>500</v>
      </c>
      <c r="R2268" s="351">
        <v>500</v>
      </c>
      <c r="S2268" s="933"/>
      <c r="T2268" s="933"/>
      <c r="U2268" s="933"/>
      <c r="X2268" s="16"/>
      <c r="Y2268" s="16"/>
    </row>
    <row r="2269" spans="1:25" s="42" customFormat="1" ht="15">
      <c r="A2269" s="740"/>
      <c r="B2269" s="530" t="s">
        <v>1813</v>
      </c>
      <c r="C2269" s="649"/>
      <c r="D2269" s="444"/>
      <c r="E2269" s="784"/>
      <c r="H2269" s="283"/>
      <c r="I2269" s="283"/>
      <c r="J2269" s="445"/>
      <c r="K2269" s="283"/>
      <c r="L2269" s="283"/>
      <c r="M2269" s="283"/>
      <c r="N2269" s="283"/>
      <c r="O2269" s="815"/>
      <c r="P2269" s="164"/>
      <c r="Q2269" s="351">
        <v>500</v>
      </c>
      <c r="R2269" s="351">
        <v>500</v>
      </c>
      <c r="S2269" s="933"/>
      <c r="T2269" s="933"/>
      <c r="U2269" s="933"/>
      <c r="X2269" s="16"/>
      <c r="Y2269" s="16"/>
    </row>
    <row r="2270" spans="1:25" s="42" customFormat="1" ht="15">
      <c r="A2270" s="740"/>
      <c r="B2270" s="530" t="s">
        <v>1814</v>
      </c>
      <c r="C2270" s="649"/>
      <c r="D2270" s="444"/>
      <c r="E2270" s="784"/>
      <c r="H2270" s="283"/>
      <c r="I2270" s="283"/>
      <c r="J2270" s="445"/>
      <c r="K2270" s="283"/>
      <c r="L2270" s="283"/>
      <c r="M2270" s="283"/>
      <c r="N2270" s="283"/>
      <c r="O2270" s="815"/>
      <c r="P2270" s="164"/>
      <c r="Q2270" s="351">
        <v>500</v>
      </c>
      <c r="R2270" s="351">
        <v>500</v>
      </c>
      <c r="S2270" s="933"/>
      <c r="T2270" s="933"/>
      <c r="U2270" s="933"/>
      <c r="X2270" s="16"/>
      <c r="Y2270" s="16"/>
    </row>
    <row r="2271" spans="1:25" s="42" customFormat="1" ht="15">
      <c r="A2271" s="740"/>
      <c r="B2271" s="530" t="s">
        <v>1815</v>
      </c>
      <c r="C2271" s="649"/>
      <c r="D2271" s="444"/>
      <c r="E2271" s="784"/>
      <c r="H2271" s="283"/>
      <c r="I2271" s="283"/>
      <c r="J2271" s="445"/>
      <c r="K2271" s="283"/>
      <c r="L2271" s="283"/>
      <c r="M2271" s="283"/>
      <c r="N2271" s="283"/>
      <c r="O2271" s="815"/>
      <c r="P2271" s="164"/>
      <c r="Q2271" s="351">
        <v>500</v>
      </c>
      <c r="R2271" s="351">
        <v>500</v>
      </c>
      <c r="S2271" s="933"/>
      <c r="T2271" s="933"/>
      <c r="U2271" s="933"/>
      <c r="X2271" s="16"/>
      <c r="Y2271" s="16"/>
    </row>
    <row r="2272" spans="1:25" s="42" customFormat="1" ht="15">
      <c r="A2272" s="740"/>
      <c r="B2272" s="530" t="s">
        <v>1816</v>
      </c>
      <c r="C2272" s="649"/>
      <c r="D2272" s="444"/>
      <c r="E2272" s="784"/>
      <c r="H2272" s="283"/>
      <c r="I2272" s="283"/>
      <c r="J2272" s="445"/>
      <c r="K2272" s="283"/>
      <c r="L2272" s="283"/>
      <c r="M2272" s="283"/>
      <c r="N2272" s="283"/>
      <c r="O2272" s="815"/>
      <c r="P2272" s="164"/>
      <c r="Q2272" s="351">
        <v>500</v>
      </c>
      <c r="R2272" s="351">
        <v>500</v>
      </c>
      <c r="S2272" s="933"/>
      <c r="T2272" s="933"/>
      <c r="U2272" s="933"/>
      <c r="X2272" s="16"/>
      <c r="Y2272" s="16"/>
    </row>
    <row r="2273" spans="1:25" s="42" customFormat="1" ht="15">
      <c r="A2273" s="740"/>
      <c r="B2273" s="530" t="s">
        <v>1817</v>
      </c>
      <c r="C2273" s="649"/>
      <c r="D2273" s="444"/>
      <c r="E2273" s="784"/>
      <c r="H2273" s="283"/>
      <c r="I2273" s="283"/>
      <c r="J2273" s="445"/>
      <c r="K2273" s="283"/>
      <c r="L2273" s="283"/>
      <c r="M2273" s="283"/>
      <c r="N2273" s="283"/>
      <c r="O2273" s="815"/>
      <c r="P2273" s="164"/>
      <c r="Q2273" s="351">
        <v>500</v>
      </c>
      <c r="R2273" s="351">
        <v>500</v>
      </c>
      <c r="S2273" s="933"/>
      <c r="T2273" s="933"/>
      <c r="U2273" s="933"/>
      <c r="X2273" s="16"/>
      <c r="Y2273" s="16"/>
    </row>
    <row r="2274" spans="1:25" s="42" customFormat="1" ht="15">
      <c r="A2274" s="740"/>
      <c r="B2274" s="530" t="s">
        <v>1818</v>
      </c>
      <c r="C2274" s="649"/>
      <c r="D2274" s="444"/>
      <c r="E2274" s="784"/>
      <c r="H2274" s="283"/>
      <c r="I2274" s="283"/>
      <c r="J2274" s="445"/>
      <c r="K2274" s="283"/>
      <c r="L2274" s="283"/>
      <c r="M2274" s="283"/>
      <c r="N2274" s="283"/>
      <c r="O2274" s="815"/>
      <c r="P2274" s="164"/>
      <c r="Q2274" s="351">
        <v>500</v>
      </c>
      <c r="R2274" s="351">
        <v>500</v>
      </c>
      <c r="S2274" s="933"/>
      <c r="T2274" s="933"/>
      <c r="U2274" s="933"/>
      <c r="X2274" s="16"/>
      <c r="Y2274" s="16"/>
    </row>
    <row r="2275" spans="1:25" s="42" customFormat="1" ht="15">
      <c r="A2275" s="740"/>
      <c r="B2275" s="530" t="s">
        <v>1819</v>
      </c>
      <c r="C2275" s="649"/>
      <c r="D2275" s="444"/>
      <c r="E2275" s="784"/>
      <c r="H2275" s="283"/>
      <c r="I2275" s="283"/>
      <c r="J2275" s="445"/>
      <c r="K2275" s="283"/>
      <c r="L2275" s="283"/>
      <c r="M2275" s="283"/>
      <c r="N2275" s="283"/>
      <c r="O2275" s="815"/>
      <c r="P2275" s="164"/>
      <c r="Q2275" s="351">
        <v>500</v>
      </c>
      <c r="R2275" s="351">
        <v>500</v>
      </c>
      <c r="S2275" s="933"/>
      <c r="T2275" s="933"/>
      <c r="U2275" s="933"/>
      <c r="X2275" s="16"/>
      <c r="Y2275" s="16"/>
    </row>
    <row r="2276" spans="1:25" s="42" customFormat="1" ht="15">
      <c r="A2276" s="740"/>
      <c r="B2276" s="530" t="s">
        <v>1820</v>
      </c>
      <c r="C2276" s="649"/>
      <c r="D2276" s="444"/>
      <c r="E2276" s="784"/>
      <c r="H2276" s="283"/>
      <c r="I2276" s="283"/>
      <c r="J2276" s="445"/>
      <c r="K2276" s="283"/>
      <c r="L2276" s="283"/>
      <c r="M2276" s="283"/>
      <c r="N2276" s="283"/>
      <c r="O2276" s="815"/>
      <c r="P2276" s="164"/>
      <c r="Q2276" s="351">
        <v>500</v>
      </c>
      <c r="R2276" s="351">
        <v>500</v>
      </c>
      <c r="S2276" s="933"/>
      <c r="T2276" s="933"/>
      <c r="U2276" s="933"/>
      <c r="X2276" s="16"/>
      <c r="Y2276" s="16"/>
    </row>
    <row r="2277" spans="1:25" s="42" customFormat="1" ht="15">
      <c r="A2277" s="740"/>
      <c r="B2277" s="446"/>
      <c r="C2277" s="649"/>
      <c r="D2277" s="444"/>
      <c r="E2277" s="647"/>
      <c r="H2277" s="283"/>
      <c r="I2277" s="283"/>
      <c r="J2277" s="445"/>
      <c r="K2277" s="283"/>
      <c r="L2277" s="283"/>
      <c r="M2277" s="283"/>
      <c r="N2277" s="283"/>
      <c r="O2277" s="815"/>
      <c r="P2277" s="164"/>
      <c r="Q2277" s="351"/>
      <c r="R2277" s="351"/>
      <c r="S2277" s="933"/>
      <c r="T2277" s="933"/>
      <c r="U2277" s="933"/>
      <c r="X2277" s="16"/>
      <c r="Y2277" s="16"/>
    </row>
    <row r="2278" spans="1:25" s="42" customFormat="1" ht="15">
      <c r="A2278" s="740"/>
      <c r="B2278" s="446" t="s">
        <v>1678</v>
      </c>
      <c r="C2278" s="649" t="s">
        <v>1821</v>
      </c>
      <c r="D2278" s="444">
        <v>40890</v>
      </c>
      <c r="E2278" s="647"/>
      <c r="F2278" s="42" t="s">
        <v>315</v>
      </c>
      <c r="H2278" s="283"/>
      <c r="I2278" s="283"/>
      <c r="J2278" s="445"/>
      <c r="K2278" s="283">
        <v>43500</v>
      </c>
      <c r="L2278" s="283"/>
      <c r="M2278" s="283">
        <f t="shared" ref="M2278:M2310" si="349">SUM(K2278:L2278)</f>
        <v>43500</v>
      </c>
      <c r="N2278" s="283"/>
      <c r="O2278" s="815"/>
      <c r="P2278" s="108" t="s">
        <v>103</v>
      </c>
      <c r="Q2278" s="522">
        <f>SUM(Q2279:Q2365)</f>
        <v>43500</v>
      </c>
      <c r="R2278" s="522">
        <f>SUM(R2279:R2365)</f>
        <v>43493</v>
      </c>
      <c r="S2278" s="188" t="s">
        <v>6134</v>
      </c>
      <c r="T2278" s="933"/>
      <c r="U2278" s="933"/>
      <c r="W2278" s="42" t="s">
        <v>930</v>
      </c>
      <c r="X2278" s="16">
        <f t="shared" ref="X2278:X2387" si="350">SUM(J2278:L2278)</f>
        <v>43500</v>
      </c>
      <c r="Y2278" s="16">
        <f>X2278-M2278</f>
        <v>0</v>
      </c>
    </row>
    <row r="2279" spans="1:25" s="42" customFormat="1" ht="37.5" customHeight="1">
      <c r="A2279" s="740"/>
      <c r="B2279" s="553" t="s">
        <v>5030</v>
      </c>
      <c r="C2279" s="649"/>
      <c r="D2279" s="444"/>
      <c r="E2279" s="647"/>
      <c r="H2279" s="283"/>
      <c r="I2279" s="283"/>
      <c r="J2279" s="445"/>
      <c r="K2279" s="283"/>
      <c r="L2279" s="283"/>
      <c r="M2279" s="283">
        <f t="shared" si="349"/>
        <v>0</v>
      </c>
      <c r="N2279" s="283"/>
      <c r="O2279" s="815"/>
      <c r="P2279" s="108"/>
      <c r="Q2279" s="93">
        <v>500</v>
      </c>
      <c r="R2279" s="469">
        <v>500</v>
      </c>
      <c r="S2279" s="1326" t="s">
        <v>5117</v>
      </c>
      <c r="T2279" s="1326"/>
      <c r="U2279" s="1326"/>
      <c r="X2279" s="16"/>
      <c r="Y2279" s="16"/>
    </row>
    <row r="2280" spans="1:25" s="42" customFormat="1" ht="37.5" customHeight="1">
      <c r="A2280" s="740"/>
      <c r="B2280" s="553" t="s">
        <v>5031</v>
      </c>
      <c r="C2280" s="649"/>
      <c r="D2280" s="444"/>
      <c r="E2280" s="647"/>
      <c r="H2280" s="283"/>
      <c r="I2280" s="283"/>
      <c r="J2280" s="445"/>
      <c r="K2280" s="283"/>
      <c r="L2280" s="283"/>
      <c r="M2280" s="283">
        <f t="shared" si="349"/>
        <v>0</v>
      </c>
      <c r="N2280" s="283"/>
      <c r="O2280" s="815"/>
      <c r="P2280" s="108"/>
      <c r="Q2280" s="93">
        <v>500</v>
      </c>
      <c r="R2280" s="469">
        <v>500</v>
      </c>
      <c r="S2280" s="1326" t="s">
        <v>5117</v>
      </c>
      <c r="T2280" s="1326"/>
      <c r="U2280" s="1326"/>
      <c r="X2280" s="16"/>
      <c r="Y2280" s="16"/>
    </row>
    <row r="2281" spans="1:25" s="42" customFormat="1" ht="37.5" customHeight="1">
      <c r="A2281" s="740"/>
      <c r="B2281" s="553" t="s">
        <v>5032</v>
      </c>
      <c r="C2281" s="649"/>
      <c r="D2281" s="444"/>
      <c r="E2281" s="647"/>
      <c r="H2281" s="283"/>
      <c r="I2281" s="283"/>
      <c r="J2281" s="445"/>
      <c r="K2281" s="283"/>
      <c r="L2281" s="283"/>
      <c r="M2281" s="283">
        <f t="shared" si="349"/>
        <v>0</v>
      </c>
      <c r="N2281" s="283"/>
      <c r="O2281" s="815"/>
      <c r="P2281" s="108"/>
      <c r="Q2281" s="93">
        <v>500</v>
      </c>
      <c r="R2281" s="469">
        <v>500</v>
      </c>
      <c r="S2281" s="1326" t="s">
        <v>5117</v>
      </c>
      <c r="T2281" s="1326"/>
      <c r="U2281" s="1326"/>
      <c r="X2281" s="16"/>
      <c r="Y2281" s="16"/>
    </row>
    <row r="2282" spans="1:25" s="42" customFormat="1" ht="37.5" customHeight="1">
      <c r="A2282" s="740"/>
      <c r="B2282" s="553" t="s">
        <v>5033</v>
      </c>
      <c r="C2282" s="649"/>
      <c r="D2282" s="444"/>
      <c r="E2282" s="647"/>
      <c r="H2282" s="283"/>
      <c r="I2282" s="283"/>
      <c r="J2282" s="445"/>
      <c r="K2282" s="283"/>
      <c r="L2282" s="283"/>
      <c r="M2282" s="283">
        <f t="shared" si="349"/>
        <v>0</v>
      </c>
      <c r="N2282" s="283"/>
      <c r="O2282" s="815"/>
      <c r="P2282" s="108"/>
      <c r="Q2282" s="93">
        <v>500</v>
      </c>
      <c r="R2282" s="469">
        <v>500</v>
      </c>
      <c r="S2282" s="1326" t="s">
        <v>5117</v>
      </c>
      <c r="T2282" s="1326"/>
      <c r="U2282" s="1326"/>
      <c r="X2282" s="16"/>
      <c r="Y2282" s="16"/>
    </row>
    <row r="2283" spans="1:25" s="42" customFormat="1" ht="37.5" customHeight="1">
      <c r="A2283" s="740"/>
      <c r="B2283" s="553" t="s">
        <v>5034</v>
      </c>
      <c r="C2283" s="649"/>
      <c r="D2283" s="444"/>
      <c r="E2283" s="647"/>
      <c r="H2283" s="283"/>
      <c r="I2283" s="283"/>
      <c r="J2283" s="445"/>
      <c r="K2283" s="283"/>
      <c r="L2283" s="283"/>
      <c r="M2283" s="283">
        <f t="shared" si="349"/>
        <v>0</v>
      </c>
      <c r="N2283" s="283"/>
      <c r="O2283" s="815"/>
      <c r="P2283" s="108"/>
      <c r="Q2283" s="93">
        <v>500</v>
      </c>
      <c r="R2283" s="469">
        <v>500</v>
      </c>
      <c r="S2283" s="1326" t="s">
        <v>5117</v>
      </c>
      <c r="T2283" s="1326"/>
      <c r="U2283" s="1326"/>
      <c r="X2283" s="16"/>
      <c r="Y2283" s="16"/>
    </row>
    <row r="2284" spans="1:25" s="42" customFormat="1" ht="37.5" customHeight="1">
      <c r="A2284" s="740"/>
      <c r="B2284" s="553" t="s">
        <v>5035</v>
      </c>
      <c r="C2284" s="649"/>
      <c r="D2284" s="444"/>
      <c r="E2284" s="647"/>
      <c r="H2284" s="283"/>
      <c r="I2284" s="283"/>
      <c r="J2284" s="445"/>
      <c r="K2284" s="283"/>
      <c r="L2284" s="283"/>
      <c r="M2284" s="283">
        <f t="shared" si="349"/>
        <v>0</v>
      </c>
      <c r="N2284" s="283"/>
      <c r="O2284" s="815"/>
      <c r="P2284" s="108"/>
      <c r="Q2284" s="93">
        <v>500</v>
      </c>
      <c r="R2284" s="469">
        <v>500</v>
      </c>
      <c r="S2284" s="1326" t="s">
        <v>5117</v>
      </c>
      <c r="T2284" s="1326"/>
      <c r="U2284" s="1326"/>
      <c r="X2284" s="16"/>
      <c r="Y2284" s="16"/>
    </row>
    <row r="2285" spans="1:25" s="42" customFormat="1" ht="37.5" customHeight="1">
      <c r="A2285" s="740"/>
      <c r="B2285" s="553" t="s">
        <v>5036</v>
      </c>
      <c r="C2285" s="649"/>
      <c r="D2285" s="444"/>
      <c r="E2285" s="647"/>
      <c r="H2285" s="283"/>
      <c r="I2285" s="283"/>
      <c r="J2285" s="445"/>
      <c r="K2285" s="283"/>
      <c r="L2285" s="283"/>
      <c r="M2285" s="283">
        <f t="shared" si="349"/>
        <v>0</v>
      </c>
      <c r="N2285" s="283"/>
      <c r="O2285" s="815"/>
      <c r="P2285" s="108"/>
      <c r="Q2285" s="93">
        <v>500</v>
      </c>
      <c r="R2285" s="469">
        <v>500</v>
      </c>
      <c r="S2285" s="1326" t="s">
        <v>5117</v>
      </c>
      <c r="T2285" s="1326"/>
      <c r="U2285" s="1326"/>
      <c r="X2285" s="16"/>
      <c r="Y2285" s="16"/>
    </row>
    <row r="2286" spans="1:25" s="42" customFormat="1" ht="37.5" customHeight="1">
      <c r="A2286" s="740"/>
      <c r="B2286" s="553" t="s">
        <v>5037</v>
      </c>
      <c r="C2286" s="649"/>
      <c r="D2286" s="444"/>
      <c r="E2286" s="647"/>
      <c r="H2286" s="283"/>
      <c r="I2286" s="283"/>
      <c r="J2286" s="445"/>
      <c r="K2286" s="283"/>
      <c r="L2286" s="283"/>
      <c r="M2286" s="283">
        <f t="shared" si="349"/>
        <v>0</v>
      </c>
      <c r="N2286" s="283"/>
      <c r="O2286" s="815"/>
      <c r="P2286" s="108"/>
      <c r="Q2286" s="93">
        <v>500</v>
      </c>
      <c r="R2286" s="469">
        <v>500</v>
      </c>
      <c r="S2286" s="1326" t="s">
        <v>5117</v>
      </c>
      <c r="T2286" s="1326"/>
      <c r="U2286" s="1326"/>
      <c r="X2286" s="16"/>
      <c r="Y2286" s="16"/>
    </row>
    <row r="2287" spans="1:25" s="42" customFormat="1" ht="37.5" customHeight="1">
      <c r="A2287" s="740"/>
      <c r="B2287" s="553" t="s">
        <v>5038</v>
      </c>
      <c r="C2287" s="649"/>
      <c r="D2287" s="444"/>
      <c r="E2287" s="647"/>
      <c r="H2287" s="283"/>
      <c r="I2287" s="283"/>
      <c r="J2287" s="445"/>
      <c r="K2287" s="283"/>
      <c r="L2287" s="283"/>
      <c r="M2287" s="283">
        <f t="shared" si="349"/>
        <v>0</v>
      </c>
      <c r="N2287" s="283"/>
      <c r="O2287" s="815"/>
      <c r="P2287" s="108"/>
      <c r="Q2287" s="93">
        <v>500</v>
      </c>
      <c r="R2287" s="469">
        <v>500</v>
      </c>
      <c r="S2287" s="1326" t="s">
        <v>5117</v>
      </c>
      <c r="T2287" s="1326"/>
      <c r="U2287" s="1326"/>
      <c r="X2287" s="16"/>
      <c r="Y2287" s="16"/>
    </row>
    <row r="2288" spans="1:25" s="42" customFormat="1" ht="37.5" customHeight="1">
      <c r="A2288" s="740"/>
      <c r="B2288" s="553" t="s">
        <v>5039</v>
      </c>
      <c r="C2288" s="649"/>
      <c r="D2288" s="444"/>
      <c r="E2288" s="647"/>
      <c r="H2288" s="283"/>
      <c r="I2288" s="283"/>
      <c r="J2288" s="445"/>
      <c r="K2288" s="283"/>
      <c r="L2288" s="283"/>
      <c r="M2288" s="283">
        <f t="shared" si="349"/>
        <v>0</v>
      </c>
      <c r="N2288" s="283"/>
      <c r="O2288" s="815"/>
      <c r="P2288" s="108"/>
      <c r="Q2288" s="93">
        <v>500</v>
      </c>
      <c r="R2288" s="469">
        <v>500</v>
      </c>
      <c r="S2288" s="1326" t="s">
        <v>5117</v>
      </c>
      <c r="T2288" s="1326"/>
      <c r="U2288" s="1326"/>
      <c r="X2288" s="16"/>
      <c r="Y2288" s="16"/>
    </row>
    <row r="2289" spans="1:25" s="42" customFormat="1" ht="37.5" customHeight="1">
      <c r="A2289" s="740"/>
      <c r="B2289" s="553" t="s">
        <v>5040</v>
      </c>
      <c r="C2289" s="649"/>
      <c r="D2289" s="444"/>
      <c r="E2289" s="647"/>
      <c r="H2289" s="283"/>
      <c r="I2289" s="283"/>
      <c r="J2289" s="445"/>
      <c r="K2289" s="283"/>
      <c r="L2289" s="283"/>
      <c r="M2289" s="283">
        <f t="shared" si="349"/>
        <v>0</v>
      </c>
      <c r="N2289" s="283"/>
      <c r="O2289" s="815"/>
      <c r="P2289" s="108"/>
      <c r="Q2289" s="93">
        <v>500</v>
      </c>
      <c r="R2289" s="469">
        <v>500</v>
      </c>
      <c r="S2289" s="1326" t="s">
        <v>5117</v>
      </c>
      <c r="T2289" s="1326"/>
      <c r="U2289" s="1326"/>
      <c r="X2289" s="16"/>
      <c r="Y2289" s="16"/>
    </row>
    <row r="2290" spans="1:25" s="42" customFormat="1" ht="37.5" customHeight="1">
      <c r="A2290" s="740"/>
      <c r="B2290" s="553" t="s">
        <v>5041</v>
      </c>
      <c r="C2290" s="649"/>
      <c r="D2290" s="444"/>
      <c r="E2290" s="647"/>
      <c r="H2290" s="283"/>
      <c r="I2290" s="283"/>
      <c r="J2290" s="445"/>
      <c r="K2290" s="283"/>
      <c r="L2290" s="283"/>
      <c r="M2290" s="283">
        <f t="shared" si="349"/>
        <v>0</v>
      </c>
      <c r="N2290" s="283"/>
      <c r="O2290" s="815"/>
      <c r="P2290" s="108"/>
      <c r="Q2290" s="93">
        <v>500</v>
      </c>
      <c r="R2290" s="469">
        <v>500</v>
      </c>
      <c r="S2290" s="1326" t="s">
        <v>5117</v>
      </c>
      <c r="T2290" s="1326"/>
      <c r="U2290" s="1326"/>
      <c r="X2290" s="16"/>
      <c r="Y2290" s="16"/>
    </row>
    <row r="2291" spans="1:25" s="42" customFormat="1" ht="37.5" customHeight="1">
      <c r="A2291" s="740"/>
      <c r="B2291" s="553" t="s">
        <v>5042</v>
      </c>
      <c r="C2291" s="649"/>
      <c r="D2291" s="444"/>
      <c r="E2291" s="647"/>
      <c r="H2291" s="283"/>
      <c r="I2291" s="283"/>
      <c r="J2291" s="445"/>
      <c r="K2291" s="283"/>
      <c r="L2291" s="283"/>
      <c r="M2291" s="283">
        <f t="shared" si="349"/>
        <v>0</v>
      </c>
      <c r="N2291" s="283"/>
      <c r="O2291" s="815"/>
      <c r="P2291" s="108"/>
      <c r="Q2291" s="93">
        <v>500</v>
      </c>
      <c r="R2291" s="469">
        <v>500</v>
      </c>
      <c r="S2291" s="1326" t="s">
        <v>5117</v>
      </c>
      <c r="T2291" s="1326"/>
      <c r="U2291" s="1326"/>
      <c r="X2291" s="16"/>
      <c r="Y2291" s="16"/>
    </row>
    <row r="2292" spans="1:25" s="42" customFormat="1" ht="37.5" customHeight="1">
      <c r="A2292" s="740"/>
      <c r="B2292" s="553" t="s">
        <v>5043</v>
      </c>
      <c r="C2292" s="649"/>
      <c r="D2292" s="444"/>
      <c r="E2292" s="647"/>
      <c r="H2292" s="283"/>
      <c r="I2292" s="283"/>
      <c r="J2292" s="445"/>
      <c r="K2292" s="283"/>
      <c r="L2292" s="283"/>
      <c r="M2292" s="283">
        <f t="shared" si="349"/>
        <v>0</v>
      </c>
      <c r="N2292" s="283"/>
      <c r="O2292" s="815"/>
      <c r="P2292" s="108"/>
      <c r="Q2292" s="93">
        <v>500</v>
      </c>
      <c r="R2292" s="469">
        <v>500</v>
      </c>
      <c r="S2292" s="1326" t="s">
        <v>5117</v>
      </c>
      <c r="T2292" s="1326"/>
      <c r="U2292" s="1326"/>
      <c r="X2292" s="16"/>
      <c r="Y2292" s="16"/>
    </row>
    <row r="2293" spans="1:25" s="42" customFormat="1" ht="37.5" customHeight="1">
      <c r="A2293" s="740"/>
      <c r="B2293" s="553" t="s">
        <v>5044</v>
      </c>
      <c r="C2293" s="649"/>
      <c r="D2293" s="444"/>
      <c r="E2293" s="647"/>
      <c r="H2293" s="283"/>
      <c r="I2293" s="283"/>
      <c r="J2293" s="445"/>
      <c r="K2293" s="283"/>
      <c r="L2293" s="283"/>
      <c r="M2293" s="283">
        <f t="shared" si="349"/>
        <v>0</v>
      </c>
      <c r="N2293" s="283"/>
      <c r="O2293" s="815"/>
      <c r="P2293" s="108"/>
      <c r="Q2293" s="93">
        <v>500</v>
      </c>
      <c r="R2293" s="469">
        <v>500</v>
      </c>
      <c r="S2293" s="1326" t="s">
        <v>5117</v>
      </c>
      <c r="T2293" s="1326"/>
      <c r="U2293" s="1326"/>
      <c r="X2293" s="16"/>
      <c r="Y2293" s="16"/>
    </row>
    <row r="2294" spans="1:25" s="42" customFormat="1" ht="37.5" customHeight="1">
      <c r="A2294" s="740"/>
      <c r="B2294" s="553" t="s">
        <v>5045</v>
      </c>
      <c r="C2294" s="649"/>
      <c r="D2294" s="444"/>
      <c r="E2294" s="647"/>
      <c r="H2294" s="283"/>
      <c r="I2294" s="283"/>
      <c r="J2294" s="445"/>
      <c r="K2294" s="283"/>
      <c r="L2294" s="283"/>
      <c r="M2294" s="283">
        <f t="shared" si="349"/>
        <v>0</v>
      </c>
      <c r="N2294" s="283"/>
      <c r="O2294" s="815"/>
      <c r="P2294" s="108"/>
      <c r="Q2294" s="93">
        <v>500</v>
      </c>
      <c r="R2294" s="469">
        <v>500</v>
      </c>
      <c r="S2294" s="1326" t="s">
        <v>5117</v>
      </c>
      <c r="T2294" s="1326"/>
      <c r="U2294" s="1326"/>
      <c r="X2294" s="16"/>
      <c r="Y2294" s="16"/>
    </row>
    <row r="2295" spans="1:25" s="42" customFormat="1" ht="37.5" customHeight="1">
      <c r="A2295" s="740"/>
      <c r="B2295" s="553" t="s">
        <v>5046</v>
      </c>
      <c r="C2295" s="649"/>
      <c r="D2295" s="444"/>
      <c r="E2295" s="647"/>
      <c r="H2295" s="283"/>
      <c r="I2295" s="283"/>
      <c r="J2295" s="445"/>
      <c r="K2295" s="283"/>
      <c r="L2295" s="283"/>
      <c r="M2295" s="283">
        <f t="shared" si="349"/>
        <v>0</v>
      </c>
      <c r="N2295" s="283"/>
      <c r="O2295" s="815"/>
      <c r="P2295" s="108"/>
      <c r="Q2295" s="93">
        <v>500</v>
      </c>
      <c r="R2295" s="469">
        <v>500</v>
      </c>
      <c r="S2295" s="1326" t="s">
        <v>5117</v>
      </c>
      <c r="T2295" s="1326"/>
      <c r="U2295" s="1326"/>
      <c r="X2295" s="16"/>
      <c r="Y2295" s="16"/>
    </row>
    <row r="2296" spans="1:25" s="42" customFormat="1" ht="37.5" customHeight="1">
      <c r="A2296" s="740"/>
      <c r="B2296" s="553" t="s">
        <v>5047</v>
      </c>
      <c r="C2296" s="649"/>
      <c r="D2296" s="444"/>
      <c r="E2296" s="647"/>
      <c r="H2296" s="283"/>
      <c r="I2296" s="283"/>
      <c r="J2296" s="445"/>
      <c r="K2296" s="283"/>
      <c r="L2296" s="283"/>
      <c r="M2296" s="283">
        <f t="shared" si="349"/>
        <v>0</v>
      </c>
      <c r="N2296" s="283"/>
      <c r="O2296" s="815"/>
      <c r="P2296" s="108"/>
      <c r="Q2296" s="93">
        <v>500</v>
      </c>
      <c r="R2296" s="469">
        <v>500</v>
      </c>
      <c r="S2296" s="1326" t="s">
        <v>5117</v>
      </c>
      <c r="T2296" s="1326"/>
      <c r="U2296" s="1326"/>
      <c r="X2296" s="16"/>
      <c r="Y2296" s="16"/>
    </row>
    <row r="2297" spans="1:25" s="42" customFormat="1" ht="37.5" customHeight="1">
      <c r="A2297" s="740"/>
      <c r="B2297" s="553" t="s">
        <v>5048</v>
      </c>
      <c r="C2297" s="649"/>
      <c r="D2297" s="444"/>
      <c r="E2297" s="647"/>
      <c r="H2297" s="283"/>
      <c r="I2297" s="283"/>
      <c r="J2297" s="445"/>
      <c r="K2297" s="283"/>
      <c r="L2297" s="283"/>
      <c r="M2297" s="283">
        <f t="shared" si="349"/>
        <v>0</v>
      </c>
      <c r="N2297" s="283"/>
      <c r="O2297" s="815"/>
      <c r="P2297" s="108"/>
      <c r="Q2297" s="93">
        <v>500</v>
      </c>
      <c r="R2297" s="469">
        <v>500</v>
      </c>
      <c r="S2297" s="1326" t="s">
        <v>5117</v>
      </c>
      <c r="T2297" s="1326"/>
      <c r="U2297" s="1326"/>
      <c r="X2297" s="16"/>
      <c r="Y2297" s="16"/>
    </row>
    <row r="2298" spans="1:25" s="42" customFormat="1" ht="37.5" customHeight="1">
      <c r="A2298" s="740"/>
      <c r="B2298" s="553" t="s">
        <v>5049</v>
      </c>
      <c r="C2298" s="649"/>
      <c r="D2298" s="444"/>
      <c r="E2298" s="647"/>
      <c r="H2298" s="283"/>
      <c r="I2298" s="283"/>
      <c r="J2298" s="445"/>
      <c r="K2298" s="283"/>
      <c r="L2298" s="283"/>
      <c r="M2298" s="283">
        <f t="shared" si="349"/>
        <v>0</v>
      </c>
      <c r="N2298" s="283"/>
      <c r="O2298" s="815"/>
      <c r="P2298" s="108"/>
      <c r="Q2298" s="93">
        <v>500</v>
      </c>
      <c r="R2298" s="469">
        <v>500</v>
      </c>
      <c r="S2298" s="1326" t="s">
        <v>5117</v>
      </c>
      <c r="T2298" s="1326"/>
      <c r="U2298" s="1326"/>
      <c r="X2298" s="16"/>
      <c r="Y2298" s="16"/>
    </row>
    <row r="2299" spans="1:25" s="42" customFormat="1" ht="37.5" customHeight="1">
      <c r="A2299" s="740"/>
      <c r="B2299" s="553" t="s">
        <v>5050</v>
      </c>
      <c r="C2299" s="649"/>
      <c r="D2299" s="444"/>
      <c r="E2299" s="647"/>
      <c r="H2299" s="283"/>
      <c r="I2299" s="283"/>
      <c r="J2299" s="445"/>
      <c r="K2299" s="283"/>
      <c r="L2299" s="283"/>
      <c r="M2299" s="283">
        <f t="shared" si="349"/>
        <v>0</v>
      </c>
      <c r="N2299" s="283"/>
      <c r="O2299" s="815"/>
      <c r="P2299" s="108"/>
      <c r="Q2299" s="93">
        <v>500</v>
      </c>
      <c r="R2299" s="469">
        <v>500</v>
      </c>
      <c r="S2299" s="1326" t="s">
        <v>5117</v>
      </c>
      <c r="T2299" s="1326"/>
      <c r="U2299" s="1326"/>
      <c r="X2299" s="16"/>
      <c r="Y2299" s="16"/>
    </row>
    <row r="2300" spans="1:25" s="42" customFormat="1" ht="37.5" customHeight="1">
      <c r="A2300" s="740"/>
      <c r="B2300" s="553" t="s">
        <v>5051</v>
      </c>
      <c r="C2300" s="649"/>
      <c r="D2300" s="444"/>
      <c r="E2300" s="647"/>
      <c r="H2300" s="283"/>
      <c r="I2300" s="283"/>
      <c r="J2300" s="445"/>
      <c r="K2300" s="283"/>
      <c r="L2300" s="283"/>
      <c r="M2300" s="283">
        <f t="shared" si="349"/>
        <v>0</v>
      </c>
      <c r="N2300" s="283"/>
      <c r="O2300" s="815"/>
      <c r="P2300" s="108"/>
      <c r="Q2300" s="93">
        <v>500</v>
      </c>
      <c r="R2300" s="469">
        <v>500</v>
      </c>
      <c r="S2300" s="1326" t="s">
        <v>5117</v>
      </c>
      <c r="T2300" s="1326"/>
      <c r="U2300" s="1326"/>
      <c r="X2300" s="16"/>
      <c r="Y2300" s="16"/>
    </row>
    <row r="2301" spans="1:25" s="42" customFormat="1" ht="37.5" customHeight="1">
      <c r="A2301" s="740"/>
      <c r="B2301" s="553" t="s">
        <v>5052</v>
      </c>
      <c r="C2301" s="649"/>
      <c r="D2301" s="444"/>
      <c r="E2301" s="647"/>
      <c r="H2301" s="283"/>
      <c r="I2301" s="283"/>
      <c r="J2301" s="445"/>
      <c r="K2301" s="283"/>
      <c r="L2301" s="283"/>
      <c r="M2301" s="283">
        <f t="shared" si="349"/>
        <v>0</v>
      </c>
      <c r="N2301" s="283"/>
      <c r="O2301" s="815"/>
      <c r="P2301" s="108"/>
      <c r="Q2301" s="93">
        <v>500</v>
      </c>
      <c r="R2301" s="469">
        <v>500</v>
      </c>
      <c r="S2301" s="1326" t="s">
        <v>5117</v>
      </c>
      <c r="T2301" s="1326"/>
      <c r="U2301" s="1326"/>
      <c r="X2301" s="16"/>
      <c r="Y2301" s="16"/>
    </row>
    <row r="2302" spans="1:25" s="42" customFormat="1" ht="37.5" customHeight="1">
      <c r="A2302" s="740"/>
      <c r="B2302" s="553" t="s">
        <v>5053</v>
      </c>
      <c r="C2302" s="649"/>
      <c r="D2302" s="444"/>
      <c r="E2302" s="647"/>
      <c r="H2302" s="283"/>
      <c r="I2302" s="283"/>
      <c r="J2302" s="445"/>
      <c r="K2302" s="283"/>
      <c r="L2302" s="283"/>
      <c r="M2302" s="283">
        <f t="shared" si="349"/>
        <v>0</v>
      </c>
      <c r="N2302" s="283"/>
      <c r="O2302" s="815"/>
      <c r="P2302" s="108"/>
      <c r="Q2302" s="93">
        <v>500</v>
      </c>
      <c r="R2302" s="469">
        <v>500</v>
      </c>
      <c r="S2302" s="1326" t="s">
        <v>5117</v>
      </c>
      <c r="T2302" s="1326"/>
      <c r="U2302" s="1326"/>
      <c r="X2302" s="16"/>
      <c r="Y2302" s="16"/>
    </row>
    <row r="2303" spans="1:25" s="42" customFormat="1" ht="37.5" customHeight="1">
      <c r="A2303" s="740"/>
      <c r="B2303" s="553" t="s">
        <v>5054</v>
      </c>
      <c r="C2303" s="649"/>
      <c r="D2303" s="444"/>
      <c r="E2303" s="647"/>
      <c r="H2303" s="283"/>
      <c r="I2303" s="283"/>
      <c r="J2303" s="445"/>
      <c r="K2303" s="283"/>
      <c r="L2303" s="283"/>
      <c r="M2303" s="283">
        <f t="shared" si="349"/>
        <v>0</v>
      </c>
      <c r="N2303" s="283"/>
      <c r="O2303" s="815"/>
      <c r="P2303" s="108"/>
      <c r="Q2303" s="93">
        <v>500</v>
      </c>
      <c r="R2303" s="469">
        <v>500</v>
      </c>
      <c r="S2303" s="1326" t="s">
        <v>5117</v>
      </c>
      <c r="T2303" s="1326"/>
      <c r="U2303" s="1326"/>
      <c r="X2303" s="16"/>
      <c r="Y2303" s="16"/>
    </row>
    <row r="2304" spans="1:25" s="42" customFormat="1" ht="37.5" customHeight="1">
      <c r="A2304" s="740"/>
      <c r="B2304" s="553" t="s">
        <v>5055</v>
      </c>
      <c r="C2304" s="649"/>
      <c r="D2304" s="444"/>
      <c r="E2304" s="647"/>
      <c r="H2304" s="283"/>
      <c r="I2304" s="283"/>
      <c r="J2304" s="445"/>
      <c r="K2304" s="283"/>
      <c r="L2304" s="283"/>
      <c r="M2304" s="283">
        <f t="shared" si="349"/>
        <v>0</v>
      </c>
      <c r="N2304" s="283"/>
      <c r="O2304" s="815"/>
      <c r="P2304" s="108"/>
      <c r="Q2304" s="93">
        <v>500</v>
      </c>
      <c r="R2304" s="469">
        <v>500</v>
      </c>
      <c r="S2304" s="1326" t="s">
        <v>5117</v>
      </c>
      <c r="T2304" s="1326"/>
      <c r="U2304" s="1326"/>
      <c r="X2304" s="16"/>
      <c r="Y2304" s="16"/>
    </row>
    <row r="2305" spans="1:25" s="42" customFormat="1" ht="37.5" customHeight="1">
      <c r="A2305" s="740"/>
      <c r="B2305" s="553" t="s">
        <v>5056</v>
      </c>
      <c r="C2305" s="649"/>
      <c r="D2305" s="444"/>
      <c r="E2305" s="647"/>
      <c r="H2305" s="283"/>
      <c r="I2305" s="283"/>
      <c r="J2305" s="445"/>
      <c r="K2305" s="283"/>
      <c r="L2305" s="283"/>
      <c r="M2305" s="283">
        <f t="shared" si="349"/>
        <v>0</v>
      </c>
      <c r="N2305" s="283"/>
      <c r="O2305" s="815"/>
      <c r="P2305" s="108"/>
      <c r="Q2305" s="93">
        <v>500</v>
      </c>
      <c r="R2305" s="469">
        <v>496</v>
      </c>
      <c r="S2305" s="1326" t="s">
        <v>5117</v>
      </c>
      <c r="T2305" s="1326"/>
      <c r="U2305" s="1326"/>
      <c r="X2305" s="16"/>
      <c r="Y2305" s="16"/>
    </row>
    <row r="2306" spans="1:25" s="42" customFormat="1" ht="37.5" customHeight="1">
      <c r="A2306" s="740"/>
      <c r="B2306" s="553" t="s">
        <v>5057</v>
      </c>
      <c r="C2306" s="649"/>
      <c r="D2306" s="444"/>
      <c r="E2306" s="647"/>
      <c r="H2306" s="283"/>
      <c r="I2306" s="283"/>
      <c r="J2306" s="445"/>
      <c r="K2306" s="283"/>
      <c r="L2306" s="283"/>
      <c r="M2306" s="283">
        <f t="shared" si="349"/>
        <v>0</v>
      </c>
      <c r="N2306" s="283"/>
      <c r="O2306" s="815"/>
      <c r="P2306" s="108"/>
      <c r="Q2306" s="93">
        <v>500</v>
      </c>
      <c r="R2306" s="469">
        <v>500</v>
      </c>
      <c r="S2306" s="1326" t="s">
        <v>5117</v>
      </c>
      <c r="T2306" s="1326"/>
      <c r="U2306" s="1326"/>
      <c r="X2306" s="16"/>
      <c r="Y2306" s="16"/>
    </row>
    <row r="2307" spans="1:25" s="42" customFormat="1" ht="37.5" customHeight="1">
      <c r="A2307" s="740"/>
      <c r="B2307" s="553" t="s">
        <v>5058</v>
      </c>
      <c r="C2307" s="649"/>
      <c r="D2307" s="444"/>
      <c r="E2307" s="647"/>
      <c r="H2307" s="283"/>
      <c r="I2307" s="283"/>
      <c r="J2307" s="445"/>
      <c r="K2307" s="283"/>
      <c r="L2307" s="283"/>
      <c r="M2307" s="283">
        <f t="shared" si="349"/>
        <v>0</v>
      </c>
      <c r="N2307" s="283"/>
      <c r="O2307" s="815"/>
      <c r="P2307" s="108"/>
      <c r="Q2307" s="93">
        <v>500</v>
      </c>
      <c r="R2307" s="469">
        <v>500</v>
      </c>
      <c r="S2307" s="1326" t="s">
        <v>5117</v>
      </c>
      <c r="T2307" s="1326"/>
      <c r="U2307" s="1326"/>
      <c r="X2307" s="16"/>
      <c r="Y2307" s="16"/>
    </row>
    <row r="2308" spans="1:25" s="42" customFormat="1" ht="37.5" customHeight="1">
      <c r="A2308" s="740"/>
      <c r="B2308" s="553" t="s">
        <v>5059</v>
      </c>
      <c r="C2308" s="649"/>
      <c r="D2308" s="444"/>
      <c r="E2308" s="647"/>
      <c r="H2308" s="283"/>
      <c r="I2308" s="283"/>
      <c r="J2308" s="445"/>
      <c r="K2308" s="283"/>
      <c r="L2308" s="283"/>
      <c r="M2308" s="283">
        <f t="shared" si="349"/>
        <v>0</v>
      </c>
      <c r="N2308" s="283"/>
      <c r="O2308" s="815"/>
      <c r="P2308" s="108"/>
      <c r="Q2308" s="93">
        <v>500</v>
      </c>
      <c r="R2308" s="469">
        <v>500</v>
      </c>
      <c r="S2308" s="1326" t="s">
        <v>5117</v>
      </c>
      <c r="T2308" s="1326"/>
      <c r="U2308" s="1326"/>
      <c r="X2308" s="16"/>
      <c r="Y2308" s="16"/>
    </row>
    <row r="2309" spans="1:25" s="42" customFormat="1" ht="37.5" customHeight="1">
      <c r="A2309" s="740"/>
      <c r="B2309" s="553" t="s">
        <v>5060</v>
      </c>
      <c r="C2309" s="649"/>
      <c r="D2309" s="444"/>
      <c r="E2309" s="647"/>
      <c r="H2309" s="283"/>
      <c r="I2309" s="283"/>
      <c r="J2309" s="445"/>
      <c r="K2309" s="283"/>
      <c r="L2309" s="283"/>
      <c r="M2309" s="283">
        <f t="shared" si="349"/>
        <v>0</v>
      </c>
      <c r="N2309" s="283"/>
      <c r="O2309" s="815"/>
      <c r="P2309" s="108"/>
      <c r="Q2309" s="93">
        <v>500</v>
      </c>
      <c r="R2309" s="469">
        <v>500</v>
      </c>
      <c r="S2309" s="1326" t="s">
        <v>5117</v>
      </c>
      <c r="T2309" s="1326"/>
      <c r="U2309" s="1326"/>
      <c r="X2309" s="16"/>
      <c r="Y2309" s="16"/>
    </row>
    <row r="2310" spans="1:25" s="42" customFormat="1" ht="37.5" customHeight="1">
      <c r="A2310" s="740"/>
      <c r="B2310" s="553" t="s">
        <v>5061</v>
      </c>
      <c r="C2310" s="649"/>
      <c r="D2310" s="444"/>
      <c r="E2310" s="647"/>
      <c r="H2310" s="283"/>
      <c r="I2310" s="283"/>
      <c r="J2310" s="445"/>
      <c r="K2310" s="283"/>
      <c r="L2310" s="283"/>
      <c r="M2310" s="283">
        <f t="shared" si="349"/>
        <v>0</v>
      </c>
      <c r="N2310" s="283"/>
      <c r="O2310" s="815"/>
      <c r="P2310" s="108"/>
      <c r="Q2310" s="93">
        <v>500</v>
      </c>
      <c r="R2310" s="469">
        <v>500</v>
      </c>
      <c r="S2310" s="1326" t="s">
        <v>5117</v>
      </c>
      <c r="T2310" s="1326"/>
      <c r="U2310" s="1326"/>
      <c r="X2310" s="16"/>
      <c r="Y2310" s="16"/>
    </row>
    <row r="2311" spans="1:25" s="42" customFormat="1" ht="37.5" customHeight="1">
      <c r="A2311" s="740"/>
      <c r="B2311" s="553" t="s">
        <v>5062</v>
      </c>
      <c r="C2311" s="649"/>
      <c r="D2311" s="444"/>
      <c r="E2311" s="647"/>
      <c r="H2311" s="283"/>
      <c r="I2311" s="283"/>
      <c r="J2311" s="445"/>
      <c r="K2311" s="283"/>
      <c r="L2311" s="283"/>
      <c r="M2311" s="283">
        <f t="shared" ref="M2311:M2342" si="351">SUM(K2311:L2311)</f>
        <v>0</v>
      </c>
      <c r="N2311" s="283"/>
      <c r="O2311" s="815"/>
      <c r="P2311" s="108"/>
      <c r="Q2311" s="93">
        <v>500</v>
      </c>
      <c r="R2311" s="469">
        <v>500</v>
      </c>
      <c r="S2311" s="1326" t="s">
        <v>5117</v>
      </c>
      <c r="T2311" s="1326"/>
      <c r="U2311" s="1326"/>
      <c r="X2311" s="16"/>
      <c r="Y2311" s="16"/>
    </row>
    <row r="2312" spans="1:25" s="42" customFormat="1" ht="37.5" customHeight="1">
      <c r="A2312" s="740"/>
      <c r="B2312" s="553" t="s">
        <v>5063</v>
      </c>
      <c r="C2312" s="649"/>
      <c r="D2312" s="444"/>
      <c r="E2312" s="647"/>
      <c r="H2312" s="283"/>
      <c r="I2312" s="283"/>
      <c r="J2312" s="445"/>
      <c r="K2312" s="283"/>
      <c r="L2312" s="283"/>
      <c r="M2312" s="283">
        <f t="shared" si="351"/>
        <v>0</v>
      </c>
      <c r="N2312" s="283"/>
      <c r="O2312" s="815"/>
      <c r="P2312" s="108"/>
      <c r="Q2312" s="93">
        <v>500</v>
      </c>
      <c r="R2312" s="469">
        <v>500</v>
      </c>
      <c r="S2312" s="1326" t="s">
        <v>5117</v>
      </c>
      <c r="T2312" s="1326"/>
      <c r="U2312" s="1326"/>
      <c r="X2312" s="16"/>
      <c r="Y2312" s="16"/>
    </row>
    <row r="2313" spans="1:25" s="42" customFormat="1" ht="37.5" customHeight="1">
      <c r="A2313" s="740"/>
      <c r="B2313" s="553" t="s">
        <v>5064</v>
      </c>
      <c r="C2313" s="649"/>
      <c r="D2313" s="444"/>
      <c r="E2313" s="647"/>
      <c r="H2313" s="283"/>
      <c r="I2313" s="283"/>
      <c r="J2313" s="445"/>
      <c r="K2313" s="283"/>
      <c r="L2313" s="283"/>
      <c r="M2313" s="283">
        <f t="shared" si="351"/>
        <v>0</v>
      </c>
      <c r="N2313" s="283"/>
      <c r="O2313" s="815"/>
      <c r="P2313" s="108"/>
      <c r="Q2313" s="93">
        <v>500</v>
      </c>
      <c r="R2313" s="469">
        <v>500</v>
      </c>
      <c r="S2313" s="1326" t="s">
        <v>5117</v>
      </c>
      <c r="T2313" s="1326"/>
      <c r="U2313" s="1326"/>
      <c r="X2313" s="16"/>
      <c r="Y2313" s="16"/>
    </row>
    <row r="2314" spans="1:25" s="42" customFormat="1" ht="37.5" customHeight="1">
      <c r="A2314" s="740"/>
      <c r="B2314" s="553" t="s">
        <v>5065</v>
      </c>
      <c r="C2314" s="649"/>
      <c r="D2314" s="444"/>
      <c r="E2314" s="647"/>
      <c r="H2314" s="283"/>
      <c r="I2314" s="283"/>
      <c r="J2314" s="445"/>
      <c r="K2314" s="283"/>
      <c r="L2314" s="283"/>
      <c r="M2314" s="283">
        <f t="shared" si="351"/>
        <v>0</v>
      </c>
      <c r="N2314" s="283"/>
      <c r="O2314" s="815"/>
      <c r="P2314" s="108"/>
      <c r="Q2314" s="93">
        <v>500</v>
      </c>
      <c r="R2314" s="469">
        <v>497</v>
      </c>
      <c r="S2314" s="1326" t="s">
        <v>5117</v>
      </c>
      <c r="T2314" s="1326"/>
      <c r="U2314" s="1326"/>
      <c r="X2314" s="16"/>
      <c r="Y2314" s="16"/>
    </row>
    <row r="2315" spans="1:25" s="42" customFormat="1" ht="37.5" customHeight="1">
      <c r="A2315" s="740"/>
      <c r="B2315" s="553" t="s">
        <v>5066</v>
      </c>
      <c r="C2315" s="649"/>
      <c r="D2315" s="444"/>
      <c r="E2315" s="647"/>
      <c r="H2315" s="283"/>
      <c r="I2315" s="283"/>
      <c r="J2315" s="445"/>
      <c r="K2315" s="283"/>
      <c r="L2315" s="283"/>
      <c r="M2315" s="283">
        <f t="shared" si="351"/>
        <v>0</v>
      </c>
      <c r="N2315" s="283"/>
      <c r="O2315" s="815"/>
      <c r="P2315" s="108"/>
      <c r="Q2315" s="93">
        <v>500</v>
      </c>
      <c r="R2315" s="469">
        <v>500</v>
      </c>
      <c r="S2315" s="1326" t="s">
        <v>5117</v>
      </c>
      <c r="T2315" s="1326"/>
      <c r="U2315" s="1326"/>
      <c r="X2315" s="16"/>
      <c r="Y2315" s="16"/>
    </row>
    <row r="2316" spans="1:25" s="42" customFormat="1" ht="37.5" customHeight="1">
      <c r="A2316" s="740"/>
      <c r="B2316" s="553" t="s">
        <v>5067</v>
      </c>
      <c r="C2316" s="649"/>
      <c r="D2316" s="444"/>
      <c r="E2316" s="647"/>
      <c r="H2316" s="283"/>
      <c r="I2316" s="283"/>
      <c r="J2316" s="445"/>
      <c r="K2316" s="283"/>
      <c r="L2316" s="283"/>
      <c r="M2316" s="283">
        <f t="shared" si="351"/>
        <v>0</v>
      </c>
      <c r="N2316" s="283"/>
      <c r="O2316" s="815"/>
      <c r="P2316" s="108"/>
      <c r="Q2316" s="93">
        <v>500</v>
      </c>
      <c r="R2316" s="469">
        <v>500</v>
      </c>
      <c r="S2316" s="1326" t="s">
        <v>5117</v>
      </c>
      <c r="T2316" s="1326"/>
      <c r="U2316" s="1326"/>
      <c r="X2316" s="16"/>
      <c r="Y2316" s="16"/>
    </row>
    <row r="2317" spans="1:25" s="42" customFormat="1" ht="37.5" customHeight="1">
      <c r="A2317" s="740"/>
      <c r="B2317" s="553" t="s">
        <v>5068</v>
      </c>
      <c r="C2317" s="649"/>
      <c r="D2317" s="444"/>
      <c r="E2317" s="647"/>
      <c r="H2317" s="283"/>
      <c r="I2317" s="283"/>
      <c r="J2317" s="445"/>
      <c r="K2317" s="283"/>
      <c r="L2317" s="283"/>
      <c r="M2317" s="283">
        <f t="shared" si="351"/>
        <v>0</v>
      </c>
      <c r="N2317" s="283"/>
      <c r="O2317" s="815"/>
      <c r="P2317" s="108"/>
      <c r="Q2317" s="93">
        <v>500</v>
      </c>
      <c r="R2317" s="469">
        <v>500</v>
      </c>
      <c r="S2317" s="1326" t="s">
        <v>5117</v>
      </c>
      <c r="T2317" s="1326"/>
      <c r="U2317" s="1326"/>
      <c r="X2317" s="16"/>
      <c r="Y2317" s="16"/>
    </row>
    <row r="2318" spans="1:25" s="42" customFormat="1" ht="37.5" customHeight="1">
      <c r="A2318" s="740"/>
      <c r="B2318" s="553" t="s">
        <v>5069</v>
      </c>
      <c r="C2318" s="649"/>
      <c r="D2318" s="444"/>
      <c r="E2318" s="647"/>
      <c r="H2318" s="283"/>
      <c r="I2318" s="283"/>
      <c r="J2318" s="445"/>
      <c r="K2318" s="283"/>
      <c r="L2318" s="283"/>
      <c r="M2318" s="283">
        <f t="shared" si="351"/>
        <v>0</v>
      </c>
      <c r="N2318" s="283"/>
      <c r="O2318" s="815"/>
      <c r="P2318" s="108"/>
      <c r="Q2318" s="93">
        <v>500</v>
      </c>
      <c r="R2318" s="469">
        <v>500</v>
      </c>
      <c r="S2318" s="1326" t="s">
        <v>5117</v>
      </c>
      <c r="T2318" s="1326"/>
      <c r="U2318" s="1326"/>
      <c r="X2318" s="16"/>
      <c r="Y2318" s="16"/>
    </row>
    <row r="2319" spans="1:25" s="42" customFormat="1" ht="37.5" customHeight="1">
      <c r="A2319" s="740"/>
      <c r="B2319" s="553" t="s">
        <v>5070</v>
      </c>
      <c r="C2319" s="649"/>
      <c r="D2319" s="444"/>
      <c r="E2319" s="647"/>
      <c r="H2319" s="283"/>
      <c r="I2319" s="283"/>
      <c r="J2319" s="445"/>
      <c r="K2319" s="283"/>
      <c r="L2319" s="283"/>
      <c r="M2319" s="283">
        <f t="shared" si="351"/>
        <v>0</v>
      </c>
      <c r="N2319" s="283"/>
      <c r="O2319" s="815"/>
      <c r="P2319" s="108"/>
      <c r="Q2319" s="93">
        <v>500</v>
      </c>
      <c r="R2319" s="469">
        <v>500</v>
      </c>
      <c r="S2319" s="1326" t="s">
        <v>5117</v>
      </c>
      <c r="T2319" s="1326"/>
      <c r="U2319" s="1326"/>
      <c r="X2319" s="16"/>
      <c r="Y2319" s="16"/>
    </row>
    <row r="2320" spans="1:25" s="42" customFormat="1" ht="37.5" customHeight="1">
      <c r="A2320" s="740"/>
      <c r="B2320" s="553" t="s">
        <v>5071</v>
      </c>
      <c r="C2320" s="649"/>
      <c r="D2320" s="444"/>
      <c r="E2320" s="647"/>
      <c r="H2320" s="283"/>
      <c r="I2320" s="283"/>
      <c r="J2320" s="445"/>
      <c r="K2320" s="283"/>
      <c r="L2320" s="283"/>
      <c r="M2320" s="283">
        <f t="shared" si="351"/>
        <v>0</v>
      </c>
      <c r="N2320" s="283"/>
      <c r="O2320" s="815"/>
      <c r="P2320" s="108"/>
      <c r="Q2320" s="93">
        <v>500</v>
      </c>
      <c r="R2320" s="469">
        <v>500</v>
      </c>
      <c r="S2320" s="1326" t="s">
        <v>5117</v>
      </c>
      <c r="T2320" s="1326"/>
      <c r="U2320" s="1326"/>
      <c r="X2320" s="16"/>
      <c r="Y2320" s="16"/>
    </row>
    <row r="2321" spans="1:25" s="42" customFormat="1" ht="37.5" customHeight="1">
      <c r="A2321" s="740"/>
      <c r="B2321" s="553" t="s">
        <v>5072</v>
      </c>
      <c r="C2321" s="649"/>
      <c r="D2321" s="444"/>
      <c r="E2321" s="647"/>
      <c r="H2321" s="283"/>
      <c r="I2321" s="283"/>
      <c r="J2321" s="445"/>
      <c r="K2321" s="283"/>
      <c r="L2321" s="283"/>
      <c r="M2321" s="283">
        <f t="shared" si="351"/>
        <v>0</v>
      </c>
      <c r="N2321" s="283"/>
      <c r="O2321" s="815"/>
      <c r="P2321" s="108"/>
      <c r="Q2321" s="93">
        <v>500</v>
      </c>
      <c r="R2321" s="469">
        <v>500</v>
      </c>
      <c r="S2321" s="1326" t="s">
        <v>5117</v>
      </c>
      <c r="T2321" s="1326"/>
      <c r="U2321" s="1326"/>
      <c r="X2321" s="16"/>
      <c r="Y2321" s="16"/>
    </row>
    <row r="2322" spans="1:25" s="42" customFormat="1" ht="37.5" customHeight="1">
      <c r="A2322" s="740"/>
      <c r="B2322" s="553" t="s">
        <v>5073</v>
      </c>
      <c r="C2322" s="649"/>
      <c r="D2322" s="444"/>
      <c r="E2322" s="647"/>
      <c r="H2322" s="283"/>
      <c r="I2322" s="283"/>
      <c r="J2322" s="445"/>
      <c r="K2322" s="283"/>
      <c r="L2322" s="283"/>
      <c r="M2322" s="283">
        <f t="shared" si="351"/>
        <v>0</v>
      </c>
      <c r="N2322" s="283"/>
      <c r="O2322" s="815"/>
      <c r="P2322" s="108"/>
      <c r="Q2322" s="93">
        <v>500</v>
      </c>
      <c r="R2322" s="469">
        <v>500</v>
      </c>
      <c r="S2322" s="1326" t="s">
        <v>5117</v>
      </c>
      <c r="T2322" s="1326"/>
      <c r="U2322" s="1326"/>
      <c r="X2322" s="16"/>
      <c r="Y2322" s="16"/>
    </row>
    <row r="2323" spans="1:25" s="42" customFormat="1" ht="37.5" customHeight="1">
      <c r="A2323" s="740"/>
      <c r="B2323" s="553" t="s">
        <v>5074</v>
      </c>
      <c r="C2323" s="649"/>
      <c r="D2323" s="444"/>
      <c r="E2323" s="647"/>
      <c r="H2323" s="283"/>
      <c r="I2323" s="283"/>
      <c r="J2323" s="445"/>
      <c r="K2323" s="283"/>
      <c r="L2323" s="283"/>
      <c r="M2323" s="283">
        <f t="shared" si="351"/>
        <v>0</v>
      </c>
      <c r="N2323" s="283"/>
      <c r="O2323" s="815"/>
      <c r="P2323" s="108"/>
      <c r="Q2323" s="93">
        <v>500</v>
      </c>
      <c r="R2323" s="469">
        <v>500</v>
      </c>
      <c r="S2323" s="1326" t="s">
        <v>5117</v>
      </c>
      <c r="T2323" s="1326"/>
      <c r="U2323" s="1326"/>
      <c r="X2323" s="16"/>
      <c r="Y2323" s="16"/>
    </row>
    <row r="2324" spans="1:25" s="42" customFormat="1" ht="37.5" customHeight="1">
      <c r="A2324" s="740"/>
      <c r="B2324" s="553" t="s">
        <v>5075</v>
      </c>
      <c r="C2324" s="649"/>
      <c r="D2324" s="444"/>
      <c r="E2324" s="647"/>
      <c r="H2324" s="283"/>
      <c r="I2324" s="283"/>
      <c r="J2324" s="445"/>
      <c r="K2324" s="283"/>
      <c r="L2324" s="283"/>
      <c r="M2324" s="283">
        <f t="shared" si="351"/>
        <v>0</v>
      </c>
      <c r="N2324" s="283"/>
      <c r="O2324" s="815"/>
      <c r="P2324" s="108"/>
      <c r="Q2324" s="93">
        <v>500</v>
      </c>
      <c r="R2324" s="469">
        <v>500</v>
      </c>
      <c r="S2324" s="1326" t="s">
        <v>5117</v>
      </c>
      <c r="T2324" s="1326"/>
      <c r="U2324" s="1326"/>
      <c r="X2324" s="16"/>
      <c r="Y2324" s="16"/>
    </row>
    <row r="2325" spans="1:25" s="42" customFormat="1" ht="37.5" customHeight="1">
      <c r="A2325" s="740"/>
      <c r="B2325" s="553" t="s">
        <v>5076</v>
      </c>
      <c r="C2325" s="649"/>
      <c r="D2325" s="444"/>
      <c r="E2325" s="647"/>
      <c r="H2325" s="283"/>
      <c r="I2325" s="283"/>
      <c r="J2325" s="445"/>
      <c r="K2325" s="283"/>
      <c r="L2325" s="283"/>
      <c r="M2325" s="283">
        <f t="shared" si="351"/>
        <v>0</v>
      </c>
      <c r="N2325" s="283"/>
      <c r="O2325" s="815"/>
      <c r="P2325" s="108"/>
      <c r="Q2325" s="93">
        <v>500</v>
      </c>
      <c r="R2325" s="469">
        <v>500</v>
      </c>
      <c r="S2325" s="1326" t="s">
        <v>5117</v>
      </c>
      <c r="T2325" s="1326"/>
      <c r="U2325" s="1326"/>
      <c r="X2325" s="16"/>
      <c r="Y2325" s="16"/>
    </row>
    <row r="2326" spans="1:25" s="42" customFormat="1" ht="37.5" customHeight="1">
      <c r="A2326" s="740"/>
      <c r="B2326" s="553" t="s">
        <v>5077</v>
      </c>
      <c r="C2326" s="649"/>
      <c r="D2326" s="444"/>
      <c r="E2326" s="647"/>
      <c r="H2326" s="283"/>
      <c r="I2326" s="283"/>
      <c r="J2326" s="445"/>
      <c r="K2326" s="283"/>
      <c r="L2326" s="283"/>
      <c r="M2326" s="283">
        <f t="shared" si="351"/>
        <v>0</v>
      </c>
      <c r="N2326" s="283"/>
      <c r="O2326" s="815"/>
      <c r="P2326" s="108"/>
      <c r="Q2326" s="93">
        <v>500</v>
      </c>
      <c r="R2326" s="469">
        <v>500</v>
      </c>
      <c r="S2326" s="1326" t="s">
        <v>5117</v>
      </c>
      <c r="T2326" s="1326"/>
      <c r="U2326" s="1326"/>
      <c r="X2326" s="16"/>
      <c r="Y2326" s="16"/>
    </row>
    <row r="2327" spans="1:25" s="42" customFormat="1" ht="37.5" customHeight="1">
      <c r="A2327" s="740"/>
      <c r="B2327" s="553" t="s">
        <v>5078</v>
      </c>
      <c r="C2327" s="649"/>
      <c r="D2327" s="444"/>
      <c r="E2327" s="647"/>
      <c r="H2327" s="283"/>
      <c r="I2327" s="283"/>
      <c r="J2327" s="445"/>
      <c r="K2327" s="283"/>
      <c r="L2327" s="283"/>
      <c r="M2327" s="283">
        <f t="shared" si="351"/>
        <v>0</v>
      </c>
      <c r="N2327" s="283"/>
      <c r="O2327" s="815"/>
      <c r="P2327" s="108"/>
      <c r="Q2327" s="93">
        <v>500</v>
      </c>
      <c r="R2327" s="469">
        <v>500</v>
      </c>
      <c r="S2327" s="1326" t="s">
        <v>5117</v>
      </c>
      <c r="T2327" s="1326"/>
      <c r="U2327" s="1326"/>
      <c r="X2327" s="16"/>
      <c r="Y2327" s="16"/>
    </row>
    <row r="2328" spans="1:25" s="42" customFormat="1" ht="37.5" customHeight="1">
      <c r="A2328" s="740"/>
      <c r="B2328" s="553" t="s">
        <v>5079</v>
      </c>
      <c r="C2328" s="649"/>
      <c r="D2328" s="444"/>
      <c r="E2328" s="647"/>
      <c r="H2328" s="283"/>
      <c r="I2328" s="283"/>
      <c r="J2328" s="445"/>
      <c r="K2328" s="283"/>
      <c r="L2328" s="283"/>
      <c r="M2328" s="283">
        <f t="shared" si="351"/>
        <v>0</v>
      </c>
      <c r="N2328" s="283"/>
      <c r="O2328" s="815"/>
      <c r="P2328" s="108"/>
      <c r="Q2328" s="93">
        <v>500</v>
      </c>
      <c r="R2328" s="469">
        <v>500</v>
      </c>
      <c r="S2328" s="1326" t="s">
        <v>5117</v>
      </c>
      <c r="T2328" s="1326"/>
      <c r="U2328" s="1326"/>
      <c r="X2328" s="16"/>
      <c r="Y2328" s="16"/>
    </row>
    <row r="2329" spans="1:25" s="42" customFormat="1" ht="37.5" customHeight="1">
      <c r="A2329" s="740"/>
      <c r="B2329" s="553" t="s">
        <v>5080</v>
      </c>
      <c r="C2329" s="649"/>
      <c r="D2329" s="444"/>
      <c r="E2329" s="647"/>
      <c r="H2329" s="283"/>
      <c r="I2329" s="283"/>
      <c r="J2329" s="445"/>
      <c r="K2329" s="283"/>
      <c r="L2329" s="283"/>
      <c r="M2329" s="283">
        <f t="shared" si="351"/>
        <v>0</v>
      </c>
      <c r="N2329" s="283"/>
      <c r="O2329" s="815"/>
      <c r="P2329" s="108"/>
      <c r="Q2329" s="93">
        <v>500</v>
      </c>
      <c r="R2329" s="469">
        <v>500</v>
      </c>
      <c r="S2329" s="1326" t="s">
        <v>5117</v>
      </c>
      <c r="T2329" s="1326"/>
      <c r="U2329" s="1326"/>
      <c r="X2329" s="16"/>
      <c r="Y2329" s="16"/>
    </row>
    <row r="2330" spans="1:25" s="42" customFormat="1" ht="37.5" customHeight="1">
      <c r="A2330" s="740"/>
      <c r="B2330" s="553" t="s">
        <v>5081</v>
      </c>
      <c r="C2330" s="649"/>
      <c r="D2330" s="444"/>
      <c r="E2330" s="647"/>
      <c r="H2330" s="283"/>
      <c r="I2330" s="283"/>
      <c r="J2330" s="445"/>
      <c r="K2330" s="283"/>
      <c r="L2330" s="283"/>
      <c r="M2330" s="283">
        <f t="shared" si="351"/>
        <v>0</v>
      </c>
      <c r="N2330" s="283"/>
      <c r="O2330" s="815"/>
      <c r="P2330" s="108"/>
      <c r="Q2330" s="93">
        <v>500</v>
      </c>
      <c r="R2330" s="469">
        <v>500</v>
      </c>
      <c r="S2330" s="1326" t="s">
        <v>5117</v>
      </c>
      <c r="T2330" s="1326"/>
      <c r="U2330" s="1326"/>
      <c r="X2330" s="16"/>
      <c r="Y2330" s="16"/>
    </row>
    <row r="2331" spans="1:25" s="42" customFormat="1" ht="37.5" customHeight="1">
      <c r="A2331" s="740"/>
      <c r="B2331" s="553" t="s">
        <v>5082</v>
      </c>
      <c r="C2331" s="649"/>
      <c r="D2331" s="444"/>
      <c r="E2331" s="647"/>
      <c r="H2331" s="283"/>
      <c r="I2331" s="283"/>
      <c r="J2331" s="445"/>
      <c r="K2331" s="283"/>
      <c r="L2331" s="283"/>
      <c r="M2331" s="283">
        <f t="shared" si="351"/>
        <v>0</v>
      </c>
      <c r="N2331" s="283"/>
      <c r="O2331" s="815"/>
      <c r="P2331" s="108"/>
      <c r="Q2331" s="93">
        <v>500</v>
      </c>
      <c r="R2331" s="469">
        <v>500</v>
      </c>
      <c r="S2331" s="1326" t="s">
        <v>5117</v>
      </c>
      <c r="T2331" s="1326"/>
      <c r="U2331" s="1326"/>
      <c r="X2331" s="16"/>
      <c r="Y2331" s="16"/>
    </row>
    <row r="2332" spans="1:25" s="42" customFormat="1" ht="37.5" customHeight="1">
      <c r="A2332" s="740"/>
      <c r="B2332" s="553" t="s">
        <v>5083</v>
      </c>
      <c r="C2332" s="649"/>
      <c r="D2332" s="444"/>
      <c r="E2332" s="647"/>
      <c r="H2332" s="283"/>
      <c r="I2332" s="283"/>
      <c r="J2332" s="445"/>
      <c r="K2332" s="283"/>
      <c r="L2332" s="283"/>
      <c r="M2332" s="283">
        <f t="shared" si="351"/>
        <v>0</v>
      </c>
      <c r="N2332" s="283"/>
      <c r="O2332" s="815"/>
      <c r="P2332" s="108"/>
      <c r="Q2332" s="93">
        <v>500</v>
      </c>
      <c r="R2332" s="469">
        <v>500</v>
      </c>
      <c r="S2332" s="1326" t="s">
        <v>5117</v>
      </c>
      <c r="T2332" s="1326"/>
      <c r="U2332" s="1326"/>
      <c r="X2332" s="16"/>
      <c r="Y2332" s="16"/>
    </row>
    <row r="2333" spans="1:25" s="42" customFormat="1" ht="37.5" customHeight="1">
      <c r="A2333" s="740"/>
      <c r="B2333" s="553" t="s">
        <v>5084</v>
      </c>
      <c r="C2333" s="649"/>
      <c r="D2333" s="444"/>
      <c r="E2333" s="647"/>
      <c r="H2333" s="283"/>
      <c r="I2333" s="283"/>
      <c r="J2333" s="445"/>
      <c r="K2333" s="283"/>
      <c r="L2333" s="283"/>
      <c r="M2333" s="283">
        <f t="shared" si="351"/>
        <v>0</v>
      </c>
      <c r="N2333" s="283"/>
      <c r="O2333" s="815"/>
      <c r="P2333" s="108"/>
      <c r="Q2333" s="93">
        <v>500</v>
      </c>
      <c r="R2333" s="469">
        <v>500</v>
      </c>
      <c r="S2333" s="1326" t="s">
        <v>5117</v>
      </c>
      <c r="T2333" s="1326"/>
      <c r="U2333" s="1326"/>
      <c r="X2333" s="16"/>
      <c r="Y2333" s="16"/>
    </row>
    <row r="2334" spans="1:25" s="42" customFormat="1" ht="37.5" customHeight="1">
      <c r="A2334" s="740"/>
      <c r="B2334" s="553" t="s">
        <v>5085</v>
      </c>
      <c r="C2334" s="649"/>
      <c r="D2334" s="444"/>
      <c r="E2334" s="647"/>
      <c r="H2334" s="283"/>
      <c r="I2334" s="283"/>
      <c r="J2334" s="445"/>
      <c r="K2334" s="283"/>
      <c r="L2334" s="283"/>
      <c r="M2334" s="283">
        <f t="shared" si="351"/>
        <v>0</v>
      </c>
      <c r="N2334" s="283"/>
      <c r="O2334" s="815"/>
      <c r="P2334" s="108"/>
      <c r="Q2334" s="93">
        <v>500</v>
      </c>
      <c r="R2334" s="469">
        <v>500</v>
      </c>
      <c r="S2334" s="1326" t="s">
        <v>5117</v>
      </c>
      <c r="T2334" s="1326"/>
      <c r="U2334" s="1326"/>
      <c r="X2334" s="16"/>
      <c r="Y2334" s="16"/>
    </row>
    <row r="2335" spans="1:25" s="42" customFormat="1" ht="37.5" customHeight="1">
      <c r="A2335" s="740"/>
      <c r="B2335" s="553" t="s">
        <v>5086</v>
      </c>
      <c r="C2335" s="649"/>
      <c r="D2335" s="444"/>
      <c r="E2335" s="647"/>
      <c r="H2335" s="283"/>
      <c r="I2335" s="283"/>
      <c r="J2335" s="445"/>
      <c r="K2335" s="283"/>
      <c r="L2335" s="283"/>
      <c r="M2335" s="283">
        <f t="shared" si="351"/>
        <v>0</v>
      </c>
      <c r="N2335" s="283"/>
      <c r="O2335" s="815"/>
      <c r="P2335" s="108"/>
      <c r="Q2335" s="93">
        <v>500</v>
      </c>
      <c r="R2335" s="469">
        <v>500</v>
      </c>
      <c r="S2335" s="1326" t="s">
        <v>5117</v>
      </c>
      <c r="T2335" s="1326"/>
      <c r="U2335" s="1326"/>
      <c r="X2335" s="16"/>
      <c r="Y2335" s="16"/>
    </row>
    <row r="2336" spans="1:25" s="42" customFormat="1" ht="37.5" customHeight="1">
      <c r="A2336" s="740"/>
      <c r="B2336" s="553" t="s">
        <v>5087</v>
      </c>
      <c r="C2336" s="649"/>
      <c r="D2336" s="444"/>
      <c r="E2336" s="647"/>
      <c r="H2336" s="283"/>
      <c r="I2336" s="283"/>
      <c r="J2336" s="445"/>
      <c r="K2336" s="283"/>
      <c r="L2336" s="283"/>
      <c r="M2336" s="283">
        <f t="shared" si="351"/>
        <v>0</v>
      </c>
      <c r="N2336" s="283"/>
      <c r="O2336" s="815"/>
      <c r="P2336" s="108"/>
      <c r="Q2336" s="93">
        <v>500</v>
      </c>
      <c r="R2336" s="469">
        <v>500</v>
      </c>
      <c r="S2336" s="1326" t="s">
        <v>5117</v>
      </c>
      <c r="T2336" s="1326"/>
      <c r="U2336" s="1326"/>
      <c r="X2336" s="16"/>
      <c r="Y2336" s="16"/>
    </row>
    <row r="2337" spans="1:25" s="42" customFormat="1" ht="37.5" customHeight="1">
      <c r="A2337" s="740"/>
      <c r="B2337" s="553" t="s">
        <v>5088</v>
      </c>
      <c r="C2337" s="649"/>
      <c r="D2337" s="444"/>
      <c r="E2337" s="647"/>
      <c r="H2337" s="283"/>
      <c r="I2337" s="283"/>
      <c r="J2337" s="445"/>
      <c r="K2337" s="283"/>
      <c r="L2337" s="283"/>
      <c r="M2337" s="283">
        <f t="shared" si="351"/>
        <v>0</v>
      </c>
      <c r="N2337" s="283"/>
      <c r="O2337" s="815"/>
      <c r="P2337" s="108"/>
      <c r="Q2337" s="93">
        <v>500</v>
      </c>
      <c r="R2337" s="469">
        <v>500</v>
      </c>
      <c r="S2337" s="1326" t="s">
        <v>5117</v>
      </c>
      <c r="T2337" s="1326"/>
      <c r="U2337" s="1326"/>
      <c r="X2337" s="16"/>
      <c r="Y2337" s="16"/>
    </row>
    <row r="2338" spans="1:25" s="42" customFormat="1" ht="37.5" customHeight="1">
      <c r="A2338" s="740"/>
      <c r="B2338" s="553" t="s">
        <v>5089</v>
      </c>
      <c r="C2338" s="649"/>
      <c r="D2338" s="444"/>
      <c r="E2338" s="647"/>
      <c r="H2338" s="283"/>
      <c r="I2338" s="283"/>
      <c r="J2338" s="445"/>
      <c r="K2338" s="283"/>
      <c r="L2338" s="283"/>
      <c r="M2338" s="283">
        <f t="shared" si="351"/>
        <v>0</v>
      </c>
      <c r="N2338" s="283"/>
      <c r="O2338" s="815"/>
      <c r="P2338" s="108"/>
      <c r="Q2338" s="93">
        <v>500</v>
      </c>
      <c r="R2338" s="469">
        <v>500</v>
      </c>
      <c r="S2338" s="1326" t="s">
        <v>5117</v>
      </c>
      <c r="T2338" s="1326"/>
      <c r="U2338" s="1326"/>
      <c r="X2338" s="16"/>
      <c r="Y2338" s="16"/>
    </row>
    <row r="2339" spans="1:25" s="42" customFormat="1" ht="37.5" customHeight="1">
      <c r="A2339" s="740"/>
      <c r="B2339" s="553" t="s">
        <v>5090</v>
      </c>
      <c r="C2339" s="649"/>
      <c r="D2339" s="444"/>
      <c r="E2339" s="647"/>
      <c r="H2339" s="283"/>
      <c r="I2339" s="283"/>
      <c r="J2339" s="445"/>
      <c r="K2339" s="283"/>
      <c r="L2339" s="283"/>
      <c r="M2339" s="283">
        <f t="shared" si="351"/>
        <v>0</v>
      </c>
      <c r="N2339" s="283"/>
      <c r="O2339" s="815"/>
      <c r="P2339" s="108"/>
      <c r="Q2339" s="93">
        <v>500</v>
      </c>
      <c r="R2339" s="469">
        <v>500</v>
      </c>
      <c r="S2339" s="1326" t="s">
        <v>5117</v>
      </c>
      <c r="T2339" s="1326"/>
      <c r="U2339" s="1326"/>
      <c r="X2339" s="16"/>
      <c r="Y2339" s="16"/>
    </row>
    <row r="2340" spans="1:25" s="42" customFormat="1" ht="37.5" customHeight="1">
      <c r="A2340" s="740"/>
      <c r="B2340" s="553" t="s">
        <v>5091</v>
      </c>
      <c r="C2340" s="649"/>
      <c r="D2340" s="444"/>
      <c r="E2340" s="647"/>
      <c r="H2340" s="283"/>
      <c r="I2340" s="283"/>
      <c r="J2340" s="445"/>
      <c r="K2340" s="283"/>
      <c r="L2340" s="283"/>
      <c r="M2340" s="283">
        <f t="shared" si="351"/>
        <v>0</v>
      </c>
      <c r="N2340" s="283"/>
      <c r="O2340" s="815"/>
      <c r="P2340" s="108"/>
      <c r="Q2340" s="93">
        <v>500</v>
      </c>
      <c r="R2340" s="469">
        <v>500</v>
      </c>
      <c r="S2340" s="1326" t="s">
        <v>5117</v>
      </c>
      <c r="T2340" s="1326"/>
      <c r="U2340" s="1326"/>
      <c r="X2340" s="16"/>
      <c r="Y2340" s="16"/>
    </row>
    <row r="2341" spans="1:25" s="42" customFormat="1" ht="37.5" customHeight="1">
      <c r="A2341" s="740"/>
      <c r="B2341" s="553" t="s">
        <v>5092</v>
      </c>
      <c r="C2341" s="649"/>
      <c r="D2341" s="444"/>
      <c r="E2341" s="647"/>
      <c r="H2341" s="283"/>
      <c r="I2341" s="283"/>
      <c r="J2341" s="445"/>
      <c r="K2341" s="283"/>
      <c r="L2341" s="283"/>
      <c r="M2341" s="283">
        <f t="shared" si="351"/>
        <v>0</v>
      </c>
      <c r="N2341" s="283"/>
      <c r="O2341" s="815"/>
      <c r="P2341" s="108"/>
      <c r="Q2341" s="93">
        <v>500</v>
      </c>
      <c r="R2341" s="469">
        <v>500</v>
      </c>
      <c r="S2341" s="1326" t="s">
        <v>5117</v>
      </c>
      <c r="T2341" s="1326"/>
      <c r="U2341" s="1326"/>
      <c r="X2341" s="16"/>
      <c r="Y2341" s="16"/>
    </row>
    <row r="2342" spans="1:25" s="42" customFormat="1" ht="37.5" customHeight="1">
      <c r="A2342" s="740"/>
      <c r="B2342" s="553" t="s">
        <v>5093</v>
      </c>
      <c r="C2342" s="649"/>
      <c r="D2342" s="444"/>
      <c r="E2342" s="647"/>
      <c r="H2342" s="283"/>
      <c r="I2342" s="283"/>
      <c r="J2342" s="445"/>
      <c r="K2342" s="283"/>
      <c r="L2342" s="283"/>
      <c r="M2342" s="283">
        <f t="shared" si="351"/>
        <v>0</v>
      </c>
      <c r="N2342" s="283"/>
      <c r="O2342" s="815"/>
      <c r="P2342" s="108"/>
      <c r="Q2342" s="93">
        <v>500</v>
      </c>
      <c r="R2342" s="469">
        <v>500</v>
      </c>
      <c r="S2342" s="1326" t="s">
        <v>5117</v>
      </c>
      <c r="T2342" s="1326"/>
      <c r="U2342" s="1326"/>
      <c r="X2342" s="16"/>
      <c r="Y2342" s="16"/>
    </row>
    <row r="2343" spans="1:25" s="42" customFormat="1" ht="37.5" customHeight="1">
      <c r="A2343" s="740"/>
      <c r="B2343" s="553" t="s">
        <v>5094</v>
      </c>
      <c r="C2343" s="649"/>
      <c r="D2343" s="444"/>
      <c r="E2343" s="647"/>
      <c r="H2343" s="283"/>
      <c r="I2343" s="283"/>
      <c r="J2343" s="445"/>
      <c r="K2343" s="283"/>
      <c r="L2343" s="283"/>
      <c r="M2343" s="283">
        <f t="shared" ref="M2343:M2365" si="352">SUM(K2343:L2343)</f>
        <v>0</v>
      </c>
      <c r="N2343" s="283"/>
      <c r="O2343" s="815"/>
      <c r="P2343" s="108"/>
      <c r="Q2343" s="93">
        <v>500</v>
      </c>
      <c r="R2343" s="469">
        <v>500</v>
      </c>
      <c r="S2343" s="1326" t="s">
        <v>5117</v>
      </c>
      <c r="T2343" s="1326"/>
      <c r="U2343" s="1326"/>
      <c r="X2343" s="16"/>
      <c r="Y2343" s="16"/>
    </row>
    <row r="2344" spans="1:25" s="42" customFormat="1" ht="37.5" customHeight="1">
      <c r="A2344" s="740"/>
      <c r="B2344" s="553" t="s">
        <v>5095</v>
      </c>
      <c r="C2344" s="649"/>
      <c r="D2344" s="444"/>
      <c r="E2344" s="647"/>
      <c r="H2344" s="283"/>
      <c r="I2344" s="283"/>
      <c r="J2344" s="445"/>
      <c r="K2344" s="283"/>
      <c r="L2344" s="283"/>
      <c r="M2344" s="283">
        <f t="shared" si="352"/>
        <v>0</v>
      </c>
      <c r="N2344" s="283"/>
      <c r="O2344" s="815"/>
      <c r="P2344" s="108"/>
      <c r="Q2344" s="93">
        <v>500</v>
      </c>
      <c r="R2344" s="469">
        <v>500</v>
      </c>
      <c r="S2344" s="1326" t="s">
        <v>5117</v>
      </c>
      <c r="T2344" s="1326"/>
      <c r="U2344" s="1326"/>
      <c r="X2344" s="16"/>
      <c r="Y2344" s="16"/>
    </row>
    <row r="2345" spans="1:25" s="42" customFormat="1" ht="37.5" customHeight="1">
      <c r="A2345" s="740"/>
      <c r="B2345" s="553" t="s">
        <v>5096</v>
      </c>
      <c r="C2345" s="649"/>
      <c r="D2345" s="444"/>
      <c r="E2345" s="647"/>
      <c r="H2345" s="283"/>
      <c r="I2345" s="283"/>
      <c r="J2345" s="445"/>
      <c r="K2345" s="283"/>
      <c r="L2345" s="283"/>
      <c r="M2345" s="283">
        <f t="shared" si="352"/>
        <v>0</v>
      </c>
      <c r="N2345" s="283"/>
      <c r="O2345" s="815"/>
      <c r="P2345" s="108"/>
      <c r="Q2345" s="93">
        <v>500</v>
      </c>
      <c r="R2345" s="469">
        <v>500</v>
      </c>
      <c r="S2345" s="1326" t="s">
        <v>5117</v>
      </c>
      <c r="T2345" s="1326"/>
      <c r="U2345" s="1326"/>
      <c r="X2345" s="16"/>
      <c r="Y2345" s="16"/>
    </row>
    <row r="2346" spans="1:25" s="42" customFormat="1" ht="37.5" customHeight="1">
      <c r="A2346" s="740"/>
      <c r="B2346" s="553" t="s">
        <v>5097</v>
      </c>
      <c r="C2346" s="649"/>
      <c r="D2346" s="444"/>
      <c r="E2346" s="647"/>
      <c r="H2346" s="283"/>
      <c r="I2346" s="283"/>
      <c r="J2346" s="445"/>
      <c r="K2346" s="283"/>
      <c r="L2346" s="283"/>
      <c r="M2346" s="283">
        <f t="shared" si="352"/>
        <v>0</v>
      </c>
      <c r="N2346" s="283"/>
      <c r="O2346" s="815"/>
      <c r="P2346" s="108"/>
      <c r="Q2346" s="93">
        <v>500</v>
      </c>
      <c r="R2346" s="469">
        <v>500</v>
      </c>
      <c r="S2346" s="1326" t="s">
        <v>5117</v>
      </c>
      <c r="T2346" s="1326"/>
      <c r="U2346" s="1326"/>
      <c r="X2346" s="16"/>
      <c r="Y2346" s="16"/>
    </row>
    <row r="2347" spans="1:25" s="42" customFormat="1" ht="37.5" customHeight="1">
      <c r="A2347" s="740"/>
      <c r="B2347" s="553" t="s">
        <v>5098</v>
      </c>
      <c r="C2347" s="649"/>
      <c r="D2347" s="444"/>
      <c r="E2347" s="647"/>
      <c r="H2347" s="283"/>
      <c r="I2347" s="283"/>
      <c r="J2347" s="445"/>
      <c r="K2347" s="283"/>
      <c r="L2347" s="283"/>
      <c r="M2347" s="283">
        <f t="shared" si="352"/>
        <v>0</v>
      </c>
      <c r="N2347" s="283"/>
      <c r="O2347" s="815"/>
      <c r="P2347" s="108"/>
      <c r="Q2347" s="93">
        <v>500</v>
      </c>
      <c r="R2347" s="469">
        <v>500</v>
      </c>
      <c r="S2347" s="1326" t="s">
        <v>5117</v>
      </c>
      <c r="T2347" s="1326"/>
      <c r="U2347" s="1326"/>
      <c r="X2347" s="16"/>
      <c r="Y2347" s="16"/>
    </row>
    <row r="2348" spans="1:25" s="42" customFormat="1" ht="37.5" customHeight="1">
      <c r="A2348" s="740"/>
      <c r="B2348" s="553" t="s">
        <v>5099</v>
      </c>
      <c r="C2348" s="649"/>
      <c r="D2348" s="444"/>
      <c r="E2348" s="647"/>
      <c r="H2348" s="283"/>
      <c r="I2348" s="283"/>
      <c r="J2348" s="445"/>
      <c r="K2348" s="283"/>
      <c r="L2348" s="283"/>
      <c r="M2348" s="283">
        <f t="shared" si="352"/>
        <v>0</v>
      </c>
      <c r="N2348" s="283"/>
      <c r="O2348" s="815"/>
      <c r="P2348" s="108"/>
      <c r="Q2348" s="93">
        <v>500</v>
      </c>
      <c r="R2348" s="469">
        <v>500</v>
      </c>
      <c r="S2348" s="1326" t="s">
        <v>5117</v>
      </c>
      <c r="T2348" s="1326"/>
      <c r="U2348" s="1326"/>
      <c r="X2348" s="16"/>
      <c r="Y2348" s="16"/>
    </row>
    <row r="2349" spans="1:25" s="42" customFormat="1" ht="37.5" customHeight="1">
      <c r="A2349" s="740"/>
      <c r="B2349" s="553" t="s">
        <v>5100</v>
      </c>
      <c r="C2349" s="649"/>
      <c r="D2349" s="444"/>
      <c r="E2349" s="647"/>
      <c r="H2349" s="283"/>
      <c r="I2349" s="283"/>
      <c r="J2349" s="445"/>
      <c r="K2349" s="283"/>
      <c r="L2349" s="283"/>
      <c r="M2349" s="283">
        <f t="shared" si="352"/>
        <v>0</v>
      </c>
      <c r="N2349" s="283"/>
      <c r="O2349" s="815"/>
      <c r="P2349" s="108"/>
      <c r="Q2349" s="93">
        <v>500</v>
      </c>
      <c r="R2349" s="469">
        <v>500</v>
      </c>
      <c r="S2349" s="1326" t="s">
        <v>5117</v>
      </c>
      <c r="T2349" s="1326"/>
      <c r="U2349" s="1326"/>
      <c r="X2349" s="16"/>
      <c r="Y2349" s="16"/>
    </row>
    <row r="2350" spans="1:25" s="42" customFormat="1" ht="37.5" customHeight="1">
      <c r="A2350" s="740"/>
      <c r="B2350" s="553" t="s">
        <v>5101</v>
      </c>
      <c r="C2350" s="649"/>
      <c r="D2350" s="444"/>
      <c r="E2350" s="647"/>
      <c r="H2350" s="283"/>
      <c r="I2350" s="283"/>
      <c r="J2350" s="445"/>
      <c r="K2350" s="283"/>
      <c r="L2350" s="283"/>
      <c r="M2350" s="283">
        <f t="shared" si="352"/>
        <v>0</v>
      </c>
      <c r="N2350" s="283"/>
      <c r="O2350" s="815"/>
      <c r="P2350" s="108"/>
      <c r="Q2350" s="93">
        <v>500</v>
      </c>
      <c r="R2350" s="469">
        <v>500</v>
      </c>
      <c r="S2350" s="1326" t="s">
        <v>5117</v>
      </c>
      <c r="T2350" s="1326"/>
      <c r="U2350" s="1326"/>
      <c r="X2350" s="16"/>
      <c r="Y2350" s="16"/>
    </row>
    <row r="2351" spans="1:25" s="42" customFormat="1" ht="37.5" customHeight="1">
      <c r="A2351" s="740"/>
      <c r="B2351" s="553" t="s">
        <v>5102</v>
      </c>
      <c r="C2351" s="649"/>
      <c r="D2351" s="444"/>
      <c r="E2351" s="647"/>
      <c r="H2351" s="283"/>
      <c r="I2351" s="283"/>
      <c r="J2351" s="445"/>
      <c r="K2351" s="283"/>
      <c r="L2351" s="283"/>
      <c r="M2351" s="283">
        <f t="shared" si="352"/>
        <v>0</v>
      </c>
      <c r="N2351" s="283"/>
      <c r="O2351" s="815"/>
      <c r="P2351" s="108"/>
      <c r="Q2351" s="93">
        <v>500</v>
      </c>
      <c r="R2351" s="469">
        <v>500</v>
      </c>
      <c r="S2351" s="1326" t="s">
        <v>5117</v>
      </c>
      <c r="T2351" s="1326"/>
      <c r="U2351" s="1326"/>
      <c r="X2351" s="16"/>
      <c r="Y2351" s="16"/>
    </row>
    <row r="2352" spans="1:25" s="42" customFormat="1" ht="37.5" customHeight="1">
      <c r="A2352" s="740"/>
      <c r="B2352" s="553" t="s">
        <v>5103</v>
      </c>
      <c r="C2352" s="649"/>
      <c r="D2352" s="444"/>
      <c r="E2352" s="647"/>
      <c r="H2352" s="283"/>
      <c r="I2352" s="283"/>
      <c r="J2352" s="445"/>
      <c r="K2352" s="283"/>
      <c r="L2352" s="283"/>
      <c r="M2352" s="283">
        <f t="shared" si="352"/>
        <v>0</v>
      </c>
      <c r="N2352" s="283"/>
      <c r="O2352" s="815"/>
      <c r="P2352" s="108"/>
      <c r="Q2352" s="93">
        <v>500</v>
      </c>
      <c r="R2352" s="469">
        <v>500</v>
      </c>
      <c r="S2352" s="1326" t="s">
        <v>5117</v>
      </c>
      <c r="T2352" s="1326"/>
      <c r="U2352" s="1326"/>
      <c r="X2352" s="16"/>
      <c r="Y2352" s="16"/>
    </row>
    <row r="2353" spans="1:25" s="42" customFormat="1" ht="37.5" customHeight="1">
      <c r="A2353" s="740"/>
      <c r="B2353" s="553" t="s">
        <v>5104</v>
      </c>
      <c r="C2353" s="649"/>
      <c r="D2353" s="444"/>
      <c r="E2353" s="647"/>
      <c r="H2353" s="283"/>
      <c r="I2353" s="283"/>
      <c r="J2353" s="445"/>
      <c r="K2353" s="283"/>
      <c r="L2353" s="283"/>
      <c r="M2353" s="283">
        <f t="shared" si="352"/>
        <v>0</v>
      </c>
      <c r="N2353" s="283"/>
      <c r="O2353" s="815"/>
      <c r="P2353" s="108"/>
      <c r="Q2353" s="93">
        <v>500</v>
      </c>
      <c r="R2353" s="469">
        <v>500</v>
      </c>
      <c r="S2353" s="1326" t="s">
        <v>5117</v>
      </c>
      <c r="T2353" s="1326"/>
      <c r="U2353" s="1326"/>
      <c r="X2353" s="16"/>
      <c r="Y2353" s="16"/>
    </row>
    <row r="2354" spans="1:25" s="42" customFormat="1" ht="37.5" customHeight="1">
      <c r="A2354" s="740"/>
      <c r="B2354" s="553" t="s">
        <v>5105</v>
      </c>
      <c r="C2354" s="649"/>
      <c r="D2354" s="444"/>
      <c r="E2354" s="647"/>
      <c r="H2354" s="283"/>
      <c r="I2354" s="283"/>
      <c r="J2354" s="445"/>
      <c r="K2354" s="283"/>
      <c r="L2354" s="283"/>
      <c r="M2354" s="283">
        <f t="shared" si="352"/>
        <v>0</v>
      </c>
      <c r="N2354" s="283"/>
      <c r="O2354" s="815"/>
      <c r="P2354" s="108"/>
      <c r="Q2354" s="93">
        <v>500</v>
      </c>
      <c r="R2354" s="469">
        <v>500</v>
      </c>
      <c r="S2354" s="1326" t="s">
        <v>5117</v>
      </c>
      <c r="T2354" s="1326"/>
      <c r="U2354" s="1326"/>
      <c r="X2354" s="16"/>
      <c r="Y2354" s="16"/>
    </row>
    <row r="2355" spans="1:25" s="42" customFormat="1" ht="37.5" customHeight="1">
      <c r="A2355" s="740"/>
      <c r="B2355" s="553" t="s">
        <v>5106</v>
      </c>
      <c r="C2355" s="649"/>
      <c r="D2355" s="444"/>
      <c r="E2355" s="647"/>
      <c r="H2355" s="283"/>
      <c r="I2355" s="283"/>
      <c r="J2355" s="445"/>
      <c r="K2355" s="283"/>
      <c r="L2355" s="283"/>
      <c r="M2355" s="283">
        <f t="shared" si="352"/>
        <v>0</v>
      </c>
      <c r="N2355" s="283"/>
      <c r="O2355" s="815"/>
      <c r="P2355" s="108"/>
      <c r="Q2355" s="93">
        <v>500</v>
      </c>
      <c r="R2355" s="469">
        <v>500</v>
      </c>
      <c r="S2355" s="1326" t="s">
        <v>5117</v>
      </c>
      <c r="T2355" s="1326"/>
      <c r="U2355" s="1326"/>
      <c r="X2355" s="16"/>
      <c r="Y2355" s="16"/>
    </row>
    <row r="2356" spans="1:25" s="42" customFormat="1" ht="37.5" customHeight="1">
      <c r="A2356" s="740"/>
      <c r="B2356" s="553" t="s">
        <v>5107</v>
      </c>
      <c r="C2356" s="649"/>
      <c r="D2356" s="444"/>
      <c r="E2356" s="647"/>
      <c r="H2356" s="283"/>
      <c r="I2356" s="283"/>
      <c r="J2356" s="445"/>
      <c r="K2356" s="283"/>
      <c r="L2356" s="283"/>
      <c r="M2356" s="283">
        <f t="shared" si="352"/>
        <v>0</v>
      </c>
      <c r="N2356" s="283"/>
      <c r="O2356" s="815"/>
      <c r="P2356" s="108"/>
      <c r="Q2356" s="93">
        <v>500</v>
      </c>
      <c r="R2356" s="469">
        <v>500</v>
      </c>
      <c r="S2356" s="1326" t="s">
        <v>5117</v>
      </c>
      <c r="T2356" s="1326"/>
      <c r="U2356" s="1326"/>
      <c r="X2356" s="16"/>
      <c r="Y2356" s="16"/>
    </row>
    <row r="2357" spans="1:25" s="42" customFormat="1" ht="37.5" customHeight="1">
      <c r="A2357" s="740"/>
      <c r="B2357" s="553" t="s">
        <v>5108</v>
      </c>
      <c r="C2357" s="649"/>
      <c r="D2357" s="444"/>
      <c r="E2357" s="647"/>
      <c r="H2357" s="283"/>
      <c r="I2357" s="283"/>
      <c r="J2357" s="445"/>
      <c r="K2357" s="283"/>
      <c r="L2357" s="283"/>
      <c r="M2357" s="283">
        <f t="shared" si="352"/>
        <v>0</v>
      </c>
      <c r="N2357" s="283"/>
      <c r="O2357" s="815"/>
      <c r="P2357" s="108"/>
      <c r="Q2357" s="93">
        <v>500</v>
      </c>
      <c r="R2357" s="469">
        <v>500</v>
      </c>
      <c r="S2357" s="1326" t="s">
        <v>5117</v>
      </c>
      <c r="T2357" s="1326"/>
      <c r="U2357" s="1326"/>
      <c r="X2357" s="16"/>
      <c r="Y2357" s="16"/>
    </row>
    <row r="2358" spans="1:25" s="42" customFormat="1" ht="37.5" customHeight="1">
      <c r="A2358" s="740"/>
      <c r="B2358" s="553" t="s">
        <v>5109</v>
      </c>
      <c r="C2358" s="649"/>
      <c r="D2358" s="444"/>
      <c r="E2358" s="647"/>
      <c r="H2358" s="283"/>
      <c r="I2358" s="283"/>
      <c r="J2358" s="445"/>
      <c r="K2358" s="283"/>
      <c r="L2358" s="283"/>
      <c r="M2358" s="283">
        <f t="shared" si="352"/>
        <v>0</v>
      </c>
      <c r="N2358" s="283"/>
      <c r="O2358" s="815"/>
      <c r="P2358" s="108"/>
      <c r="Q2358" s="93">
        <v>500</v>
      </c>
      <c r="R2358" s="469">
        <v>500</v>
      </c>
      <c r="S2358" s="1326" t="s">
        <v>5117</v>
      </c>
      <c r="T2358" s="1326"/>
      <c r="U2358" s="1326"/>
      <c r="X2358" s="16"/>
      <c r="Y2358" s="16"/>
    </row>
    <row r="2359" spans="1:25" s="42" customFormat="1" ht="37.5" customHeight="1">
      <c r="A2359" s="740"/>
      <c r="B2359" s="553" t="s">
        <v>5110</v>
      </c>
      <c r="C2359" s="649"/>
      <c r="D2359" s="444"/>
      <c r="E2359" s="647"/>
      <c r="H2359" s="283"/>
      <c r="I2359" s="283"/>
      <c r="J2359" s="445"/>
      <c r="K2359" s="283"/>
      <c r="L2359" s="283"/>
      <c r="M2359" s="283">
        <f t="shared" si="352"/>
        <v>0</v>
      </c>
      <c r="N2359" s="283"/>
      <c r="O2359" s="815"/>
      <c r="P2359" s="108"/>
      <c r="Q2359" s="93">
        <v>500</v>
      </c>
      <c r="R2359" s="469">
        <v>500</v>
      </c>
      <c r="S2359" s="1326" t="s">
        <v>5117</v>
      </c>
      <c r="T2359" s="1326"/>
      <c r="U2359" s="1326"/>
      <c r="X2359" s="16"/>
      <c r="Y2359" s="16"/>
    </row>
    <row r="2360" spans="1:25" s="42" customFormat="1" ht="37.5" customHeight="1">
      <c r="A2360" s="740"/>
      <c r="B2360" s="553" t="s">
        <v>5111</v>
      </c>
      <c r="C2360" s="649"/>
      <c r="D2360" s="444"/>
      <c r="E2360" s="647"/>
      <c r="H2360" s="283"/>
      <c r="I2360" s="283"/>
      <c r="J2360" s="445"/>
      <c r="K2360" s="283"/>
      <c r="L2360" s="283"/>
      <c r="M2360" s="283">
        <f t="shared" si="352"/>
        <v>0</v>
      </c>
      <c r="N2360" s="283"/>
      <c r="O2360" s="815"/>
      <c r="P2360" s="108"/>
      <c r="Q2360" s="93">
        <v>500</v>
      </c>
      <c r="R2360" s="469">
        <v>500</v>
      </c>
      <c r="S2360" s="1326" t="s">
        <v>5117</v>
      </c>
      <c r="T2360" s="1326"/>
      <c r="U2360" s="1326"/>
      <c r="X2360" s="16"/>
      <c r="Y2360" s="16"/>
    </row>
    <row r="2361" spans="1:25" s="42" customFormat="1" ht="37.5" customHeight="1">
      <c r="A2361" s="740"/>
      <c r="B2361" s="553" t="s">
        <v>5112</v>
      </c>
      <c r="C2361" s="649"/>
      <c r="D2361" s="444"/>
      <c r="E2361" s="647"/>
      <c r="H2361" s="283"/>
      <c r="I2361" s="283"/>
      <c r="J2361" s="445"/>
      <c r="K2361" s="283"/>
      <c r="L2361" s="283"/>
      <c r="M2361" s="283">
        <f t="shared" si="352"/>
        <v>0</v>
      </c>
      <c r="N2361" s="283"/>
      <c r="O2361" s="815"/>
      <c r="P2361" s="108"/>
      <c r="Q2361" s="93">
        <v>500</v>
      </c>
      <c r="R2361" s="469">
        <v>500</v>
      </c>
      <c r="S2361" s="1326" t="s">
        <v>5117</v>
      </c>
      <c r="T2361" s="1326"/>
      <c r="U2361" s="1326"/>
      <c r="X2361" s="16"/>
      <c r="Y2361" s="16"/>
    </row>
    <row r="2362" spans="1:25" s="42" customFormat="1" ht="37.5" customHeight="1">
      <c r="A2362" s="740"/>
      <c r="B2362" s="553" t="s">
        <v>5113</v>
      </c>
      <c r="C2362" s="649"/>
      <c r="D2362" s="444"/>
      <c r="E2362" s="647"/>
      <c r="H2362" s="283"/>
      <c r="I2362" s="283"/>
      <c r="J2362" s="445"/>
      <c r="K2362" s="283"/>
      <c r="L2362" s="283"/>
      <c r="M2362" s="283">
        <f t="shared" si="352"/>
        <v>0</v>
      </c>
      <c r="N2362" s="283"/>
      <c r="O2362" s="815"/>
      <c r="P2362" s="108"/>
      <c r="Q2362" s="93">
        <v>500</v>
      </c>
      <c r="R2362" s="469">
        <v>500</v>
      </c>
      <c r="S2362" s="1326" t="s">
        <v>5117</v>
      </c>
      <c r="T2362" s="1326"/>
      <c r="U2362" s="1326"/>
      <c r="X2362" s="16"/>
      <c r="Y2362" s="16"/>
    </row>
    <row r="2363" spans="1:25" s="42" customFormat="1" ht="37.5" customHeight="1">
      <c r="A2363" s="740"/>
      <c r="B2363" s="553" t="s">
        <v>5114</v>
      </c>
      <c r="C2363" s="649"/>
      <c r="D2363" s="444"/>
      <c r="E2363" s="647"/>
      <c r="H2363" s="283"/>
      <c r="I2363" s="283"/>
      <c r="J2363" s="445"/>
      <c r="K2363" s="283"/>
      <c r="L2363" s="283"/>
      <c r="M2363" s="283">
        <f t="shared" si="352"/>
        <v>0</v>
      </c>
      <c r="N2363" s="283"/>
      <c r="O2363" s="815"/>
      <c r="P2363" s="108"/>
      <c r="Q2363" s="93">
        <v>500</v>
      </c>
      <c r="R2363" s="469">
        <v>500</v>
      </c>
      <c r="S2363" s="1326" t="s">
        <v>5117</v>
      </c>
      <c r="T2363" s="1326"/>
      <c r="U2363" s="1326"/>
      <c r="X2363" s="16"/>
      <c r="Y2363" s="16"/>
    </row>
    <row r="2364" spans="1:25" s="42" customFormat="1" ht="37.5" customHeight="1">
      <c r="A2364" s="740"/>
      <c r="B2364" s="553" t="s">
        <v>5115</v>
      </c>
      <c r="C2364" s="649"/>
      <c r="D2364" s="444"/>
      <c r="E2364" s="647"/>
      <c r="H2364" s="283"/>
      <c r="I2364" s="283"/>
      <c r="J2364" s="445"/>
      <c r="K2364" s="283"/>
      <c r="L2364" s="283"/>
      <c r="M2364" s="283">
        <f t="shared" si="352"/>
        <v>0</v>
      </c>
      <c r="N2364" s="283"/>
      <c r="O2364" s="815"/>
      <c r="P2364" s="108"/>
      <c r="Q2364" s="93">
        <v>500</v>
      </c>
      <c r="R2364" s="469">
        <v>500</v>
      </c>
      <c r="S2364" s="1326" t="s">
        <v>5117</v>
      </c>
      <c r="T2364" s="1326"/>
      <c r="U2364" s="1326"/>
      <c r="X2364" s="16"/>
      <c r="Y2364" s="16"/>
    </row>
    <row r="2365" spans="1:25" s="42" customFormat="1" ht="37.5" customHeight="1">
      <c r="A2365" s="740"/>
      <c r="B2365" s="553" t="s">
        <v>5116</v>
      </c>
      <c r="C2365" s="649"/>
      <c r="D2365" s="444"/>
      <c r="E2365" s="647"/>
      <c r="H2365" s="283"/>
      <c r="I2365" s="283"/>
      <c r="J2365" s="445"/>
      <c r="K2365" s="283"/>
      <c r="L2365" s="283"/>
      <c r="M2365" s="283">
        <f t="shared" si="352"/>
        <v>0</v>
      </c>
      <c r="N2365" s="283"/>
      <c r="O2365" s="815"/>
      <c r="P2365" s="108"/>
      <c r="Q2365" s="93">
        <v>500</v>
      </c>
      <c r="R2365" s="469">
        <v>500</v>
      </c>
      <c r="S2365" s="1326" t="s">
        <v>5117</v>
      </c>
      <c r="T2365" s="1326"/>
      <c r="U2365" s="1326"/>
      <c r="X2365" s="16"/>
      <c r="Y2365" s="16"/>
    </row>
    <row r="2366" spans="1:25" s="42" customFormat="1" ht="15">
      <c r="A2366" s="740"/>
      <c r="B2366" s="446" t="s">
        <v>1616</v>
      </c>
      <c r="C2366" s="649" t="s">
        <v>1823</v>
      </c>
      <c r="D2366" s="444">
        <v>40890</v>
      </c>
      <c r="E2366" s="647"/>
      <c r="F2366" s="42" t="s">
        <v>1822</v>
      </c>
      <c r="H2366" s="283"/>
      <c r="I2366" s="283"/>
      <c r="J2366" s="445"/>
      <c r="K2366" s="283">
        <v>30000</v>
      </c>
      <c r="L2366" s="283"/>
      <c r="M2366" s="283">
        <f t="shared" ref="M2366:M2387" si="353">SUM(K2366:L2366)</f>
        <v>30000</v>
      </c>
      <c r="N2366" s="283"/>
      <c r="O2366" s="815"/>
      <c r="P2366" s="108" t="s">
        <v>103</v>
      </c>
      <c r="Q2366" s="351">
        <v>30000</v>
      </c>
      <c r="R2366" s="351">
        <v>30000</v>
      </c>
      <c r="S2366" s="933"/>
      <c r="T2366" s="933"/>
      <c r="U2366" s="933"/>
      <c r="W2366" s="42" t="s">
        <v>930</v>
      </c>
      <c r="X2366" s="16">
        <f t="shared" si="350"/>
        <v>30000</v>
      </c>
      <c r="Y2366" s="16">
        <f t="shared" ref="Y2366:Y2375" si="354">X2366-M2366</f>
        <v>0</v>
      </c>
    </row>
    <row r="2367" spans="1:25" s="42" customFormat="1" ht="15">
      <c r="A2367" s="740"/>
      <c r="B2367" s="446"/>
      <c r="C2367" s="649"/>
      <c r="D2367" s="444"/>
      <c r="E2367" s="647"/>
      <c r="H2367" s="283"/>
      <c r="I2367" s="283"/>
      <c r="J2367" s="445"/>
      <c r="K2367" s="283"/>
      <c r="L2367" s="283"/>
      <c r="M2367" s="283"/>
      <c r="N2367" s="283"/>
      <c r="O2367" s="815"/>
      <c r="P2367" s="108"/>
      <c r="Q2367" s="351"/>
      <c r="R2367" s="351"/>
      <c r="S2367" s="933"/>
      <c r="T2367" s="933"/>
      <c r="U2367" s="933"/>
      <c r="X2367" s="16"/>
      <c r="Y2367" s="16"/>
    </row>
    <row r="2368" spans="1:25" s="42" customFormat="1" ht="15">
      <c r="A2368" s="740"/>
      <c r="B2368" s="446" t="s">
        <v>1607</v>
      </c>
      <c r="C2368" s="649" t="s">
        <v>1824</v>
      </c>
      <c r="D2368" s="444">
        <v>40890</v>
      </c>
      <c r="E2368" s="647"/>
      <c r="F2368" s="42" t="s">
        <v>315</v>
      </c>
      <c r="H2368" s="283"/>
      <c r="I2368" s="283"/>
      <c r="J2368" s="445"/>
      <c r="K2368" s="283">
        <v>55800</v>
      </c>
      <c r="L2368" s="283"/>
      <c r="M2368" s="283">
        <f t="shared" si="353"/>
        <v>55800</v>
      </c>
      <c r="N2368" s="283"/>
      <c r="O2368" s="815"/>
      <c r="P2368" s="108" t="s">
        <v>103</v>
      </c>
      <c r="Q2368" s="522">
        <f>SUM(Q2369:Q2370)</f>
        <v>55800</v>
      </c>
      <c r="R2368" s="522">
        <f>SUM(R2369:R2370)</f>
        <v>55588</v>
      </c>
      <c r="S2368" s="933"/>
      <c r="T2368" s="933"/>
      <c r="U2368" s="933"/>
      <c r="W2368" s="42" t="s">
        <v>930</v>
      </c>
      <c r="X2368" s="16">
        <f t="shared" si="350"/>
        <v>55800</v>
      </c>
      <c r="Y2368" s="16">
        <f t="shared" si="354"/>
        <v>0</v>
      </c>
    </row>
    <row r="2369" spans="1:25" s="42" customFormat="1" ht="15">
      <c r="A2369" s="740"/>
      <c r="B2369" s="42" t="s">
        <v>5672</v>
      </c>
      <c r="C2369" s="649"/>
      <c r="D2369" s="444"/>
      <c r="E2369" s="647"/>
      <c r="H2369" s="283"/>
      <c r="I2369" s="283"/>
      <c r="J2369" s="445"/>
      <c r="K2369" s="283"/>
      <c r="L2369" s="283"/>
      <c r="M2369" s="283"/>
      <c r="N2369" s="283"/>
      <c r="O2369" s="815"/>
      <c r="P2369" s="108"/>
      <c r="Q2369" s="351">
        <v>14500</v>
      </c>
      <c r="R2369" s="351">
        <v>14288</v>
      </c>
      <c r="S2369" s="933"/>
      <c r="T2369" s="933"/>
      <c r="U2369" s="933"/>
      <c r="X2369" s="16"/>
      <c r="Y2369" s="16"/>
    </row>
    <row r="2370" spans="1:25" s="42" customFormat="1" ht="15">
      <c r="A2370" s="740"/>
      <c r="B2370" s="42" t="s">
        <v>5673</v>
      </c>
      <c r="C2370" s="649"/>
      <c r="D2370" s="444"/>
      <c r="E2370" s="647"/>
      <c r="H2370" s="283"/>
      <c r="I2370" s="283"/>
      <c r="J2370" s="445"/>
      <c r="K2370" s="351"/>
      <c r="L2370" s="283"/>
      <c r="M2370" s="283"/>
      <c r="N2370" s="283"/>
      <c r="O2370" s="815"/>
      <c r="P2370" s="108"/>
      <c r="Q2370" s="351">
        <v>41300</v>
      </c>
      <c r="R2370" s="351">
        <v>41300</v>
      </c>
      <c r="S2370" s="933"/>
      <c r="T2370" s="933"/>
      <c r="U2370" s="933"/>
      <c r="X2370" s="16"/>
      <c r="Y2370" s="16"/>
    </row>
    <row r="2371" spans="1:25" s="42" customFormat="1" ht="15">
      <c r="A2371" s="740"/>
      <c r="B2371" s="446" t="s">
        <v>1639</v>
      </c>
      <c r="C2371" s="649" t="s">
        <v>1826</v>
      </c>
      <c r="D2371" s="444">
        <v>40890</v>
      </c>
      <c r="E2371" s="647"/>
      <c r="F2371" s="42" t="s">
        <v>1825</v>
      </c>
      <c r="H2371" s="283"/>
      <c r="I2371" s="283"/>
      <c r="J2371" s="445"/>
      <c r="K2371" s="283">
        <v>5000</v>
      </c>
      <c r="L2371" s="283"/>
      <c r="M2371" s="283">
        <f t="shared" si="353"/>
        <v>5000</v>
      </c>
      <c r="N2371" s="283"/>
      <c r="O2371" s="815"/>
      <c r="P2371" s="108" t="s">
        <v>103</v>
      </c>
      <c r="Q2371" s="351">
        <v>5000</v>
      </c>
      <c r="R2371" s="351">
        <v>5000</v>
      </c>
      <c r="S2371" s="933"/>
      <c r="T2371" s="933"/>
      <c r="U2371" s="933"/>
      <c r="W2371" s="42" t="s">
        <v>930</v>
      </c>
      <c r="X2371" s="16">
        <f t="shared" si="350"/>
        <v>5000</v>
      </c>
      <c r="Y2371" s="16">
        <f t="shared" si="354"/>
        <v>0</v>
      </c>
    </row>
    <row r="2372" spans="1:25" s="42" customFormat="1" ht="15">
      <c r="A2372" s="740"/>
      <c r="B2372" s="446" t="s">
        <v>1651</v>
      </c>
      <c r="C2372" s="649" t="s">
        <v>1828</v>
      </c>
      <c r="D2372" s="444">
        <v>40890</v>
      </c>
      <c r="E2372" s="647"/>
      <c r="F2372" s="42" t="s">
        <v>1827</v>
      </c>
      <c r="H2372" s="283"/>
      <c r="I2372" s="283"/>
      <c r="J2372" s="445"/>
      <c r="K2372" s="283">
        <v>9200</v>
      </c>
      <c r="L2372" s="283"/>
      <c r="M2372" s="283">
        <f t="shared" si="353"/>
        <v>9200</v>
      </c>
      <c r="N2372" s="283"/>
      <c r="O2372" s="815"/>
      <c r="P2372" s="108" t="s">
        <v>103</v>
      </c>
      <c r="Q2372" s="351">
        <v>9200</v>
      </c>
      <c r="R2372" s="351">
        <v>9200</v>
      </c>
      <c r="S2372" s="933"/>
      <c r="T2372" s="933"/>
      <c r="U2372" s="933"/>
      <c r="W2372" s="42" t="s">
        <v>930</v>
      </c>
      <c r="X2372" s="16">
        <f t="shared" si="350"/>
        <v>9200</v>
      </c>
      <c r="Y2372" s="16">
        <f t="shared" si="354"/>
        <v>0</v>
      </c>
    </row>
    <row r="2373" spans="1:25" s="42" customFormat="1" ht="15">
      <c r="A2373" s="740"/>
      <c r="B2373" s="446" t="s">
        <v>1678</v>
      </c>
      <c r="C2373" s="649" t="s">
        <v>1830</v>
      </c>
      <c r="D2373" s="444">
        <v>40890</v>
      </c>
      <c r="E2373" s="647"/>
      <c r="F2373" s="42" t="s">
        <v>1829</v>
      </c>
      <c r="H2373" s="283"/>
      <c r="I2373" s="283"/>
      <c r="J2373" s="445"/>
      <c r="K2373" s="283">
        <v>15000</v>
      </c>
      <c r="L2373" s="283"/>
      <c r="M2373" s="283">
        <f t="shared" si="353"/>
        <v>15000</v>
      </c>
      <c r="N2373" s="283"/>
      <c r="O2373" s="815"/>
      <c r="P2373" s="108" t="s">
        <v>103</v>
      </c>
      <c r="Q2373" s="351">
        <v>15000</v>
      </c>
      <c r="R2373" s="351">
        <v>15000</v>
      </c>
      <c r="S2373" s="933"/>
      <c r="T2373" s="933"/>
      <c r="U2373" s="933"/>
      <c r="W2373" s="42" t="s">
        <v>930</v>
      </c>
      <c r="X2373" s="16">
        <f t="shared" si="350"/>
        <v>15000</v>
      </c>
      <c r="Y2373" s="16">
        <f t="shared" si="354"/>
        <v>0</v>
      </c>
    </row>
    <row r="2374" spans="1:25" s="42" customFormat="1" ht="66.75" customHeight="1">
      <c r="A2374" s="740"/>
      <c r="B2374" s="101" t="s">
        <v>1672</v>
      </c>
      <c r="C2374" s="647" t="s">
        <v>1832</v>
      </c>
      <c r="D2374" s="527">
        <v>40890</v>
      </c>
      <c r="E2374" s="647"/>
      <c r="F2374" s="525" t="s">
        <v>1831</v>
      </c>
      <c r="G2374" s="525"/>
      <c r="H2374" s="21"/>
      <c r="I2374" s="21"/>
      <c r="J2374" s="528"/>
      <c r="K2374" s="21">
        <v>10000</v>
      </c>
      <c r="L2374" s="21"/>
      <c r="M2374" s="21">
        <f t="shared" si="353"/>
        <v>10000</v>
      </c>
      <c r="N2374" s="21"/>
      <c r="O2374" s="58"/>
      <c r="P2374" s="108" t="s">
        <v>103</v>
      </c>
      <c r="Q2374" s="93">
        <v>10000</v>
      </c>
      <c r="R2374" s="93">
        <v>10000</v>
      </c>
      <c r="S2374" s="1346" t="s">
        <v>4632</v>
      </c>
      <c r="T2374" s="1346"/>
      <c r="U2374" s="1346"/>
      <c r="W2374" s="525" t="s">
        <v>930</v>
      </c>
      <c r="X2374" s="16">
        <f t="shared" si="350"/>
        <v>10000</v>
      </c>
      <c r="Y2374" s="16">
        <f t="shared" si="354"/>
        <v>0</v>
      </c>
    </row>
    <row r="2375" spans="1:25" s="42" customFormat="1" ht="15">
      <c r="A2375" s="740"/>
      <c r="B2375" s="446" t="s">
        <v>1678</v>
      </c>
      <c r="C2375" s="649" t="s">
        <v>1833</v>
      </c>
      <c r="D2375" s="444">
        <v>40890</v>
      </c>
      <c r="E2375" s="647"/>
      <c r="F2375" s="42" t="s">
        <v>315</v>
      </c>
      <c r="H2375" s="283"/>
      <c r="I2375" s="283"/>
      <c r="J2375" s="445"/>
      <c r="K2375" s="351">
        <v>35000</v>
      </c>
      <c r="L2375" s="351">
        <f t="shared" ref="L2375" si="355">SUM(L2376:L2383)</f>
        <v>0</v>
      </c>
      <c r="M2375" s="283">
        <f t="shared" si="353"/>
        <v>35000</v>
      </c>
      <c r="N2375" s="283"/>
      <c r="O2375" s="815"/>
      <c r="P2375" s="108" t="s">
        <v>103</v>
      </c>
      <c r="Q2375" s="522">
        <f>SUM(Q2376:Q2383)</f>
        <v>35000</v>
      </c>
      <c r="R2375" s="351">
        <f>SUM(R2376:R2383)</f>
        <v>35000</v>
      </c>
      <c r="S2375" s="1327" t="s">
        <v>6134</v>
      </c>
      <c r="T2375" s="1327"/>
      <c r="U2375" s="1327"/>
      <c r="W2375" s="42" t="s">
        <v>930</v>
      </c>
      <c r="X2375" s="16">
        <f t="shared" si="350"/>
        <v>35000</v>
      </c>
      <c r="Y2375" s="16">
        <f t="shared" si="354"/>
        <v>0</v>
      </c>
    </row>
    <row r="2376" spans="1:25" s="42" customFormat="1" ht="15">
      <c r="A2376" s="740"/>
      <c r="B2376" s="446" t="s">
        <v>5118</v>
      </c>
      <c r="C2376" s="649"/>
      <c r="D2376" s="444"/>
      <c r="E2376" s="647"/>
      <c r="H2376" s="283"/>
      <c r="I2376" s="283"/>
      <c r="J2376" s="445"/>
      <c r="K2376" s="791"/>
      <c r="L2376" s="283"/>
      <c r="M2376" s="283">
        <f t="shared" ref="M2376:M2383" si="356">SUM(K2376:L2376)</f>
        <v>0</v>
      </c>
      <c r="N2376" s="283"/>
      <c r="O2376" s="815"/>
      <c r="P2376" s="108"/>
      <c r="Q2376" s="351">
        <v>5000</v>
      </c>
      <c r="R2376" s="351">
        <v>5000</v>
      </c>
      <c r="S2376" s="1111" t="s">
        <v>5123</v>
      </c>
      <c r="T2376" s="933"/>
      <c r="U2376" s="933"/>
      <c r="X2376" s="16"/>
      <c r="Y2376" s="16"/>
    </row>
    <row r="2377" spans="1:25" s="42" customFormat="1" ht="15">
      <c r="A2377" s="740"/>
      <c r="B2377" s="446" t="s">
        <v>5119</v>
      </c>
      <c r="C2377" s="649"/>
      <c r="D2377" s="444"/>
      <c r="E2377" s="647"/>
      <c r="H2377" s="283"/>
      <c r="I2377" s="283"/>
      <c r="J2377" s="445"/>
      <c r="K2377" s="791"/>
      <c r="L2377" s="283"/>
      <c r="M2377" s="283">
        <f t="shared" si="356"/>
        <v>0</v>
      </c>
      <c r="N2377" s="283"/>
      <c r="O2377" s="815"/>
      <c r="P2377" s="108"/>
      <c r="Q2377" s="351">
        <v>2500</v>
      </c>
      <c r="R2377" s="351">
        <v>2500</v>
      </c>
      <c r="S2377" s="1111" t="s">
        <v>5123</v>
      </c>
      <c r="T2377" s="933"/>
      <c r="U2377" s="933"/>
      <c r="X2377" s="16"/>
      <c r="Y2377" s="16"/>
    </row>
    <row r="2378" spans="1:25" s="42" customFormat="1" ht="15">
      <c r="A2378" s="740"/>
      <c r="B2378" s="446" t="s">
        <v>5120</v>
      </c>
      <c r="C2378" s="649"/>
      <c r="D2378" s="444"/>
      <c r="E2378" s="647"/>
      <c r="H2378" s="283"/>
      <c r="I2378" s="283"/>
      <c r="J2378" s="445"/>
      <c r="K2378" s="791"/>
      <c r="L2378" s="283"/>
      <c r="M2378" s="283">
        <f t="shared" si="356"/>
        <v>0</v>
      </c>
      <c r="N2378" s="283"/>
      <c r="O2378" s="815"/>
      <c r="P2378" s="108"/>
      <c r="Q2378" s="351">
        <v>2500</v>
      </c>
      <c r="R2378" s="351">
        <v>2500</v>
      </c>
      <c r="S2378" s="1111" t="s">
        <v>5123</v>
      </c>
      <c r="T2378" s="933"/>
      <c r="U2378" s="933"/>
      <c r="X2378" s="16"/>
      <c r="Y2378" s="16"/>
    </row>
    <row r="2379" spans="1:25" s="42" customFormat="1" ht="15">
      <c r="A2379" s="740"/>
      <c r="B2379" s="446" t="s">
        <v>3705</v>
      </c>
      <c r="C2379" s="649"/>
      <c r="D2379" s="444"/>
      <c r="E2379" s="647"/>
      <c r="H2379" s="283"/>
      <c r="I2379" s="283"/>
      <c r="J2379" s="445"/>
      <c r="K2379" s="791"/>
      <c r="L2379" s="283"/>
      <c r="M2379" s="283">
        <f t="shared" si="356"/>
        <v>0</v>
      </c>
      <c r="N2379" s="283"/>
      <c r="O2379" s="815"/>
      <c r="P2379" s="108"/>
      <c r="Q2379" s="351">
        <v>5000</v>
      </c>
      <c r="R2379" s="351">
        <v>5000</v>
      </c>
      <c r="S2379" s="1111" t="s">
        <v>5123</v>
      </c>
      <c r="T2379" s="933"/>
      <c r="U2379" s="933"/>
      <c r="X2379" s="16"/>
      <c r="Y2379" s="16"/>
    </row>
    <row r="2380" spans="1:25" s="42" customFormat="1" ht="15">
      <c r="A2380" s="740"/>
      <c r="B2380" s="446" t="s">
        <v>5121</v>
      </c>
      <c r="C2380" s="649"/>
      <c r="D2380" s="444"/>
      <c r="E2380" s="647"/>
      <c r="H2380" s="283"/>
      <c r="I2380" s="283"/>
      <c r="J2380" s="445"/>
      <c r="K2380" s="791"/>
      <c r="L2380" s="283"/>
      <c r="M2380" s="283">
        <f t="shared" si="356"/>
        <v>0</v>
      </c>
      <c r="N2380" s="283"/>
      <c r="O2380" s="815"/>
      <c r="P2380" s="108"/>
      <c r="Q2380" s="351">
        <v>5000</v>
      </c>
      <c r="R2380" s="351">
        <v>5000</v>
      </c>
      <c r="S2380" s="1111" t="s">
        <v>5123</v>
      </c>
      <c r="T2380" s="933"/>
      <c r="U2380" s="933"/>
      <c r="X2380" s="16"/>
      <c r="Y2380" s="16"/>
    </row>
    <row r="2381" spans="1:25" s="42" customFormat="1" ht="15">
      <c r="A2381" s="740"/>
      <c r="B2381" s="446" t="s">
        <v>3975</v>
      </c>
      <c r="C2381" s="649"/>
      <c r="D2381" s="444"/>
      <c r="E2381" s="647"/>
      <c r="H2381" s="283"/>
      <c r="I2381" s="283"/>
      <c r="J2381" s="445"/>
      <c r="K2381" s="791"/>
      <c r="L2381" s="283"/>
      <c r="M2381" s="283">
        <f t="shared" si="356"/>
        <v>0</v>
      </c>
      <c r="N2381" s="283"/>
      <c r="O2381" s="815"/>
      <c r="P2381" s="108"/>
      <c r="Q2381" s="351">
        <v>5000</v>
      </c>
      <c r="R2381" s="351">
        <v>5000</v>
      </c>
      <c r="S2381" s="1111" t="s">
        <v>5123</v>
      </c>
      <c r="T2381" s="933"/>
      <c r="U2381" s="933"/>
      <c r="X2381" s="16"/>
      <c r="Y2381" s="16"/>
    </row>
    <row r="2382" spans="1:25" s="42" customFormat="1" ht="15">
      <c r="A2382" s="740"/>
      <c r="B2382" s="446" t="s">
        <v>5122</v>
      </c>
      <c r="C2382" s="649"/>
      <c r="D2382" s="444"/>
      <c r="E2382" s="647"/>
      <c r="H2382" s="283"/>
      <c r="I2382" s="283"/>
      <c r="J2382" s="445"/>
      <c r="K2382" s="791"/>
      <c r="L2382" s="283"/>
      <c r="M2382" s="283">
        <f t="shared" si="356"/>
        <v>0</v>
      </c>
      <c r="N2382" s="283"/>
      <c r="O2382" s="815"/>
      <c r="P2382" s="108"/>
      <c r="Q2382" s="351">
        <v>5000</v>
      </c>
      <c r="R2382" s="351">
        <v>5000</v>
      </c>
      <c r="S2382" s="1111" t="s">
        <v>5123</v>
      </c>
      <c r="T2382" s="933"/>
      <c r="U2382" s="933"/>
      <c r="X2382" s="16"/>
      <c r="Y2382" s="16"/>
    </row>
    <row r="2383" spans="1:25" s="42" customFormat="1" ht="15">
      <c r="A2383" s="740"/>
      <c r="B2383" s="446" t="s">
        <v>3781</v>
      </c>
      <c r="C2383" s="649"/>
      <c r="D2383" s="444"/>
      <c r="E2383" s="647"/>
      <c r="H2383" s="283"/>
      <c r="I2383" s="283"/>
      <c r="J2383" s="445"/>
      <c r="K2383" s="791"/>
      <c r="L2383" s="283"/>
      <c r="M2383" s="283">
        <f t="shared" si="356"/>
        <v>0</v>
      </c>
      <c r="N2383" s="283"/>
      <c r="O2383" s="815"/>
      <c r="P2383" s="108"/>
      <c r="Q2383" s="351">
        <v>5000</v>
      </c>
      <c r="R2383" s="351">
        <v>5000</v>
      </c>
      <c r="S2383" s="1111" t="s">
        <v>5123</v>
      </c>
      <c r="T2383" s="933"/>
      <c r="U2383" s="933"/>
      <c r="X2383" s="16"/>
      <c r="Y2383" s="16"/>
    </row>
    <row r="2384" spans="1:25" s="42" customFormat="1" ht="15">
      <c r="A2384" s="740"/>
      <c r="B2384" s="446" t="s">
        <v>1607</v>
      </c>
      <c r="C2384" s="649" t="s">
        <v>1834</v>
      </c>
      <c r="D2384" s="444">
        <v>40890</v>
      </c>
      <c r="E2384" s="647"/>
      <c r="F2384" s="42" t="s">
        <v>315</v>
      </c>
      <c r="H2384" s="283"/>
      <c r="I2384" s="283"/>
      <c r="J2384" s="445"/>
      <c r="K2384" s="283">
        <v>20000</v>
      </c>
      <c r="L2384" s="283"/>
      <c r="M2384" s="283">
        <f t="shared" si="353"/>
        <v>20000</v>
      </c>
      <c r="N2384" s="283"/>
      <c r="O2384" s="815"/>
      <c r="P2384" s="108" t="s">
        <v>103</v>
      </c>
      <c r="Q2384" s="351">
        <v>20000</v>
      </c>
      <c r="R2384" s="351">
        <v>20000</v>
      </c>
      <c r="S2384" s="933"/>
      <c r="T2384" s="933"/>
      <c r="U2384" s="933"/>
      <c r="W2384" s="42" t="s">
        <v>930</v>
      </c>
      <c r="X2384" s="16">
        <f t="shared" si="350"/>
        <v>20000</v>
      </c>
      <c r="Y2384" s="16">
        <f>X2384-M2384</f>
        <v>0</v>
      </c>
    </row>
    <row r="2385" spans="1:25" s="42" customFormat="1" ht="15">
      <c r="A2385" s="740"/>
      <c r="B2385" s="446" t="s">
        <v>1616</v>
      </c>
      <c r="C2385" s="649" t="s">
        <v>1836</v>
      </c>
      <c r="D2385" s="444">
        <v>40890</v>
      </c>
      <c r="E2385" s="647"/>
      <c r="F2385" s="42" t="s">
        <v>1835</v>
      </c>
      <c r="H2385" s="283"/>
      <c r="I2385" s="283"/>
      <c r="J2385" s="445"/>
      <c r="K2385" s="283">
        <v>5000</v>
      </c>
      <c r="L2385" s="283"/>
      <c r="M2385" s="283">
        <f t="shared" si="353"/>
        <v>5000</v>
      </c>
      <c r="N2385" s="283"/>
      <c r="O2385" s="815"/>
      <c r="P2385" s="108" t="s">
        <v>103</v>
      </c>
      <c r="Q2385" s="351">
        <v>5000</v>
      </c>
      <c r="R2385" s="351">
        <v>5000</v>
      </c>
      <c r="S2385" s="933"/>
      <c r="T2385" s="933"/>
      <c r="U2385" s="933"/>
      <c r="W2385" s="42" t="s">
        <v>930</v>
      </c>
      <c r="X2385" s="16">
        <f t="shared" si="350"/>
        <v>5000</v>
      </c>
      <c r="Y2385" s="16">
        <f>X2385-M2385</f>
        <v>0</v>
      </c>
    </row>
    <row r="2386" spans="1:25" s="42" customFormat="1" ht="15">
      <c r="A2386" s="740"/>
      <c r="B2386" s="535" t="s">
        <v>331</v>
      </c>
      <c r="C2386" s="649" t="s">
        <v>1838</v>
      </c>
      <c r="D2386" s="444">
        <v>40890</v>
      </c>
      <c r="E2386" s="789"/>
      <c r="F2386" s="42" t="s">
        <v>1837</v>
      </c>
      <c r="H2386" s="283"/>
      <c r="I2386" s="283"/>
      <c r="J2386" s="445"/>
      <c r="K2386" s="283">
        <v>10000</v>
      </c>
      <c r="L2386" s="283"/>
      <c r="M2386" s="283">
        <f t="shared" si="353"/>
        <v>10000</v>
      </c>
      <c r="N2386" s="283"/>
      <c r="O2386" s="815"/>
      <c r="P2386" s="108" t="s">
        <v>103</v>
      </c>
      <c r="Q2386" s="351">
        <v>10000</v>
      </c>
      <c r="R2386" s="351">
        <v>10000</v>
      </c>
      <c r="S2386" s="933"/>
      <c r="T2386" s="933"/>
      <c r="U2386" s="933"/>
      <c r="W2386" s="42" t="s">
        <v>930</v>
      </c>
      <c r="X2386" s="16">
        <f t="shared" si="350"/>
        <v>10000</v>
      </c>
      <c r="Y2386" s="16">
        <f>X2386-M2386</f>
        <v>0</v>
      </c>
    </row>
    <row r="2387" spans="1:25" s="42" customFormat="1" ht="15">
      <c r="A2387" s="740"/>
      <c r="B2387" s="446" t="s">
        <v>1616</v>
      </c>
      <c r="C2387" s="649" t="s">
        <v>1839</v>
      </c>
      <c r="D2387" s="444">
        <v>40890</v>
      </c>
      <c r="E2387" s="647"/>
      <c r="F2387" s="42" t="s">
        <v>315</v>
      </c>
      <c r="H2387" s="283"/>
      <c r="I2387" s="283"/>
      <c r="J2387" s="445"/>
      <c r="K2387" s="283">
        <v>50000</v>
      </c>
      <c r="L2387" s="283"/>
      <c r="M2387" s="283">
        <f t="shared" si="353"/>
        <v>50000</v>
      </c>
      <c r="N2387" s="283"/>
      <c r="O2387" s="815"/>
      <c r="P2387" s="108" t="s">
        <v>103</v>
      </c>
      <c r="Q2387" s="522">
        <f>SUM(Q2388:Q2390)</f>
        <v>50000</v>
      </c>
      <c r="R2387" s="522">
        <f>SUM(R2388:R2390)</f>
        <v>50000</v>
      </c>
      <c r="S2387" s="933"/>
      <c r="T2387" s="933"/>
      <c r="U2387" s="933"/>
      <c r="W2387" s="42" t="s">
        <v>930</v>
      </c>
      <c r="X2387" s="16">
        <f t="shared" si="350"/>
        <v>50000</v>
      </c>
      <c r="Y2387" s="16">
        <f>X2387-M2387</f>
        <v>0</v>
      </c>
    </row>
    <row r="2388" spans="1:25" s="42" customFormat="1" ht="15">
      <c r="A2388" s="740"/>
      <c r="B2388" s="918" t="s">
        <v>1840</v>
      </c>
      <c r="C2388" s="649"/>
      <c r="D2388" s="444"/>
      <c r="E2388" s="784"/>
      <c r="H2388" s="283"/>
      <c r="I2388" s="283"/>
      <c r="J2388" s="445"/>
      <c r="K2388" s="283"/>
      <c r="L2388" s="283"/>
      <c r="M2388" s="283"/>
      <c r="N2388" s="283"/>
      <c r="O2388" s="815"/>
      <c r="P2388" s="164"/>
      <c r="Q2388" s="351">
        <v>17000</v>
      </c>
      <c r="R2388" s="351">
        <v>17000</v>
      </c>
      <c r="S2388" s="933"/>
      <c r="T2388" s="933"/>
      <c r="U2388" s="933"/>
      <c r="X2388" s="16"/>
      <c r="Y2388" s="16"/>
    </row>
    <row r="2389" spans="1:25" s="42" customFormat="1" ht="15">
      <c r="A2389" s="740"/>
      <c r="B2389" s="918" t="s">
        <v>1841</v>
      </c>
      <c r="C2389" s="649"/>
      <c r="D2389" s="444"/>
      <c r="E2389" s="784"/>
      <c r="H2389" s="283"/>
      <c r="I2389" s="283"/>
      <c r="J2389" s="445"/>
      <c r="K2389" s="283"/>
      <c r="L2389" s="283"/>
      <c r="M2389" s="283"/>
      <c r="N2389" s="283"/>
      <c r="O2389" s="815"/>
      <c r="P2389" s="164"/>
      <c r="Q2389" s="93">
        <v>16000</v>
      </c>
      <c r="R2389" s="93">
        <v>16000</v>
      </c>
      <c r="S2389" s="1326" t="s">
        <v>4744</v>
      </c>
      <c r="T2389" s="1326"/>
      <c r="U2389" s="1326"/>
      <c r="X2389" s="16"/>
      <c r="Y2389" s="16"/>
    </row>
    <row r="2390" spans="1:25" s="42" customFormat="1" ht="15">
      <c r="A2390" s="740"/>
      <c r="B2390" s="918" t="s">
        <v>1842</v>
      </c>
      <c r="C2390" s="649"/>
      <c r="D2390" s="444"/>
      <c r="E2390" s="784"/>
      <c r="H2390" s="283"/>
      <c r="I2390" s="283"/>
      <c r="J2390" s="445"/>
      <c r="K2390" s="283"/>
      <c r="L2390" s="283"/>
      <c r="M2390" s="283"/>
      <c r="N2390" s="283"/>
      <c r="O2390" s="815"/>
      <c r="P2390" s="164"/>
      <c r="Q2390" s="351">
        <v>17000</v>
      </c>
      <c r="R2390" s="351">
        <v>17000</v>
      </c>
      <c r="S2390" s="933"/>
      <c r="T2390" s="933"/>
      <c r="U2390" s="933"/>
      <c r="X2390" s="16"/>
      <c r="Y2390" s="16"/>
    </row>
    <row r="2391" spans="1:25" s="42" customFormat="1" ht="15">
      <c r="A2391" s="740"/>
      <c r="B2391" s="446"/>
      <c r="C2391" s="649"/>
      <c r="D2391" s="444"/>
      <c r="E2391" s="647"/>
      <c r="H2391" s="283"/>
      <c r="I2391" s="283"/>
      <c r="J2391" s="445"/>
      <c r="K2391" s="283"/>
      <c r="L2391" s="283"/>
      <c r="M2391" s="283"/>
      <c r="N2391" s="283"/>
      <c r="O2391" s="815"/>
      <c r="P2391" s="164"/>
      <c r="Q2391" s="351"/>
      <c r="R2391" s="351"/>
      <c r="S2391" s="933"/>
      <c r="T2391" s="933"/>
      <c r="U2391" s="933"/>
      <c r="X2391" s="16"/>
      <c r="Y2391" s="16"/>
    </row>
    <row r="2392" spans="1:25" s="42" customFormat="1" ht="15">
      <c r="A2392" s="740"/>
      <c r="B2392" s="446" t="s">
        <v>1700</v>
      </c>
      <c r="C2392" s="649" t="s">
        <v>1844</v>
      </c>
      <c r="D2392" s="444">
        <v>40890</v>
      </c>
      <c r="E2392" s="647"/>
      <c r="F2392" s="42" t="s">
        <v>1843</v>
      </c>
      <c r="H2392" s="283"/>
      <c r="I2392" s="283"/>
      <c r="J2392" s="445"/>
      <c r="K2392" s="283">
        <v>20000</v>
      </c>
      <c r="L2392" s="283"/>
      <c r="M2392" s="283">
        <f t="shared" ref="M2392:M2435" si="357">SUM(K2392:L2392)</f>
        <v>20000</v>
      </c>
      <c r="N2392" s="283"/>
      <c r="O2392" s="815"/>
      <c r="P2392" s="108" t="s">
        <v>103</v>
      </c>
      <c r="Q2392" s="351">
        <v>20000</v>
      </c>
      <c r="R2392" s="351">
        <v>20000</v>
      </c>
      <c r="S2392" s="933"/>
      <c r="T2392" s="933"/>
      <c r="U2392" s="933"/>
      <c r="W2392" s="42" t="s">
        <v>930</v>
      </c>
      <c r="X2392" s="16">
        <f t="shared" ref="X2392:X2435" si="358">SUM(J2392:L2392)</f>
        <v>20000</v>
      </c>
      <c r="Y2392" s="16">
        <f t="shared" ref="Y2392:Y2410" si="359">X2392-M2392</f>
        <v>0</v>
      </c>
    </row>
    <row r="2393" spans="1:25" s="42" customFormat="1" ht="15">
      <c r="A2393" s="740"/>
      <c r="B2393" s="446" t="s">
        <v>1700</v>
      </c>
      <c r="C2393" s="649" t="s">
        <v>1846</v>
      </c>
      <c r="D2393" s="444">
        <v>40890</v>
      </c>
      <c r="E2393" s="647"/>
      <c r="F2393" s="42" t="s">
        <v>1845</v>
      </c>
      <c r="H2393" s="283"/>
      <c r="I2393" s="283"/>
      <c r="J2393" s="445"/>
      <c r="K2393" s="283">
        <v>20000</v>
      </c>
      <c r="L2393" s="283"/>
      <c r="M2393" s="283">
        <f t="shared" si="357"/>
        <v>20000</v>
      </c>
      <c r="N2393" s="283"/>
      <c r="O2393" s="815"/>
      <c r="P2393" s="108" t="s">
        <v>103</v>
      </c>
      <c r="Q2393" s="351">
        <v>20000</v>
      </c>
      <c r="R2393" s="351">
        <v>20000</v>
      </c>
      <c r="S2393" s="933"/>
      <c r="T2393" s="933"/>
      <c r="U2393" s="933"/>
      <c r="W2393" s="42" t="s">
        <v>930</v>
      </c>
      <c r="X2393" s="16">
        <f t="shared" si="358"/>
        <v>20000</v>
      </c>
      <c r="Y2393" s="16">
        <f t="shared" si="359"/>
        <v>0</v>
      </c>
    </row>
    <row r="2394" spans="1:25" s="42" customFormat="1" ht="15">
      <c r="A2394" s="740"/>
      <c r="B2394" s="446" t="s">
        <v>1687</v>
      </c>
      <c r="C2394" s="649" t="s">
        <v>1848</v>
      </c>
      <c r="D2394" s="444">
        <v>40890</v>
      </c>
      <c r="E2394" s="647"/>
      <c r="F2394" s="42" t="s">
        <v>1847</v>
      </c>
      <c r="H2394" s="283"/>
      <c r="I2394" s="283"/>
      <c r="J2394" s="445"/>
      <c r="K2394" s="283">
        <v>20000</v>
      </c>
      <c r="L2394" s="283"/>
      <c r="M2394" s="283">
        <f t="shared" si="357"/>
        <v>20000</v>
      </c>
      <c r="N2394" s="283"/>
      <c r="O2394" s="815"/>
      <c r="P2394" s="108" t="s">
        <v>103</v>
      </c>
      <c r="Q2394" s="351">
        <v>20000</v>
      </c>
      <c r="R2394" s="351">
        <v>20000</v>
      </c>
      <c r="S2394" s="933"/>
      <c r="T2394" s="933"/>
      <c r="U2394" s="933"/>
      <c r="W2394" s="42" t="s">
        <v>930</v>
      </c>
      <c r="X2394" s="16">
        <f t="shared" si="358"/>
        <v>20000</v>
      </c>
      <c r="Y2394" s="16">
        <f t="shared" si="359"/>
        <v>0</v>
      </c>
    </row>
    <row r="2395" spans="1:25" s="42" customFormat="1" ht="15">
      <c r="A2395" s="740"/>
      <c r="B2395" s="446" t="s">
        <v>1700</v>
      </c>
      <c r="C2395" s="649" t="s">
        <v>1850</v>
      </c>
      <c r="D2395" s="444">
        <v>40890</v>
      </c>
      <c r="E2395" s="647"/>
      <c r="F2395" s="42" t="s">
        <v>1849</v>
      </c>
      <c r="H2395" s="283"/>
      <c r="I2395" s="283"/>
      <c r="J2395" s="445"/>
      <c r="K2395" s="283">
        <v>20000</v>
      </c>
      <c r="L2395" s="283"/>
      <c r="M2395" s="283">
        <f t="shared" si="357"/>
        <v>20000</v>
      </c>
      <c r="N2395" s="283"/>
      <c r="O2395" s="815"/>
      <c r="P2395" s="108" t="s">
        <v>103</v>
      </c>
      <c r="Q2395" s="351">
        <v>20000</v>
      </c>
      <c r="R2395" s="351">
        <v>20000</v>
      </c>
      <c r="S2395" s="933"/>
      <c r="T2395" s="933"/>
      <c r="U2395" s="933"/>
      <c r="W2395" s="42" t="s">
        <v>930</v>
      </c>
      <c r="X2395" s="16">
        <f t="shared" si="358"/>
        <v>20000</v>
      </c>
      <c r="Y2395" s="16">
        <f t="shared" si="359"/>
        <v>0</v>
      </c>
    </row>
    <row r="2396" spans="1:25" s="42" customFormat="1" ht="120">
      <c r="A2396" s="740"/>
      <c r="B2396" s="446" t="s">
        <v>1687</v>
      </c>
      <c r="C2396" s="649" t="s">
        <v>1852</v>
      </c>
      <c r="D2396" s="444">
        <v>40890</v>
      </c>
      <c r="E2396" s="647"/>
      <c r="F2396" s="42" t="s">
        <v>1851</v>
      </c>
      <c r="H2396" s="283"/>
      <c r="I2396" s="283"/>
      <c r="J2396" s="445"/>
      <c r="K2396" s="283">
        <v>20000</v>
      </c>
      <c r="L2396" s="283"/>
      <c r="M2396" s="283">
        <f t="shared" si="357"/>
        <v>20000</v>
      </c>
      <c r="N2396" s="283"/>
      <c r="O2396" s="815"/>
      <c r="P2396" s="108" t="s">
        <v>103</v>
      </c>
      <c r="Q2396" s="351">
        <v>20000</v>
      </c>
      <c r="R2396" s="351">
        <v>20000</v>
      </c>
      <c r="S2396" s="933" t="s">
        <v>6240</v>
      </c>
      <c r="T2396" s="933"/>
      <c r="U2396" s="933"/>
      <c r="W2396" s="42" t="s">
        <v>930</v>
      </c>
      <c r="X2396" s="16">
        <f t="shared" si="358"/>
        <v>20000</v>
      </c>
      <c r="Y2396" s="16">
        <f t="shared" si="359"/>
        <v>0</v>
      </c>
    </row>
    <row r="2397" spans="1:25" s="42" customFormat="1" ht="15">
      <c r="A2397" s="740"/>
      <c r="B2397" s="446" t="s">
        <v>1651</v>
      </c>
      <c r="C2397" s="649" t="s">
        <v>1853</v>
      </c>
      <c r="D2397" s="444">
        <v>40892</v>
      </c>
      <c r="E2397" s="647"/>
      <c r="F2397" s="42" t="s">
        <v>315</v>
      </c>
      <c r="H2397" s="283"/>
      <c r="I2397" s="283"/>
      <c r="J2397" s="445"/>
      <c r="K2397" s="283">
        <v>40000</v>
      </c>
      <c r="L2397" s="283"/>
      <c r="M2397" s="283">
        <f t="shared" si="357"/>
        <v>40000</v>
      </c>
      <c r="N2397" s="283"/>
      <c r="O2397" s="815"/>
      <c r="P2397" s="108" t="s">
        <v>103</v>
      </c>
      <c r="Q2397" s="351">
        <v>40000</v>
      </c>
      <c r="R2397" s="351">
        <v>40000</v>
      </c>
      <c r="S2397" s="933"/>
      <c r="T2397" s="933"/>
      <c r="U2397" s="933"/>
      <c r="W2397" s="42" t="s">
        <v>930</v>
      </c>
      <c r="X2397" s="16">
        <f t="shared" si="358"/>
        <v>40000</v>
      </c>
      <c r="Y2397" s="16">
        <f t="shared" si="359"/>
        <v>0</v>
      </c>
    </row>
    <row r="2398" spans="1:25" s="42" customFormat="1" ht="15">
      <c r="A2398" s="740"/>
      <c r="B2398" s="446" t="s">
        <v>1700</v>
      </c>
      <c r="C2398" s="649" t="s">
        <v>1855</v>
      </c>
      <c r="D2398" s="444">
        <v>40891</v>
      </c>
      <c r="E2398" s="647"/>
      <c r="F2398" s="42" t="s">
        <v>1854</v>
      </c>
      <c r="H2398" s="283"/>
      <c r="I2398" s="283"/>
      <c r="J2398" s="445"/>
      <c r="K2398" s="283">
        <v>5000</v>
      </c>
      <c r="L2398" s="283"/>
      <c r="M2398" s="283">
        <f t="shared" si="357"/>
        <v>5000</v>
      </c>
      <c r="N2398" s="283"/>
      <c r="O2398" s="815"/>
      <c r="P2398" s="108" t="s">
        <v>103</v>
      </c>
      <c r="Q2398" s="351">
        <v>5000</v>
      </c>
      <c r="R2398" s="351">
        <v>5000</v>
      </c>
      <c r="S2398" s="933"/>
      <c r="T2398" s="933"/>
      <c r="U2398" s="933"/>
      <c r="W2398" s="42" t="s">
        <v>930</v>
      </c>
      <c r="X2398" s="16">
        <f t="shared" si="358"/>
        <v>5000</v>
      </c>
      <c r="Y2398" s="16">
        <f t="shared" si="359"/>
        <v>0</v>
      </c>
    </row>
    <row r="2399" spans="1:25" s="42" customFormat="1" ht="15">
      <c r="A2399" s="740"/>
      <c r="B2399" s="446" t="s">
        <v>1639</v>
      </c>
      <c r="C2399" s="649" t="s">
        <v>1856</v>
      </c>
      <c r="D2399" s="444">
        <v>40891</v>
      </c>
      <c r="E2399" s="647"/>
      <c r="F2399" s="42" t="s">
        <v>1681</v>
      </c>
      <c r="H2399" s="283"/>
      <c r="I2399" s="283"/>
      <c r="J2399" s="445"/>
      <c r="K2399" s="283">
        <v>5000</v>
      </c>
      <c r="L2399" s="283"/>
      <c r="M2399" s="283">
        <f t="shared" si="357"/>
        <v>5000</v>
      </c>
      <c r="N2399" s="283"/>
      <c r="O2399" s="815"/>
      <c r="P2399" s="108" t="s">
        <v>103</v>
      </c>
      <c r="Q2399" s="351">
        <v>5000</v>
      </c>
      <c r="R2399" s="351">
        <v>5000</v>
      </c>
      <c r="S2399" s="933"/>
      <c r="T2399" s="933"/>
      <c r="U2399" s="933"/>
      <c r="W2399" s="42" t="s">
        <v>930</v>
      </c>
      <c r="X2399" s="16">
        <f t="shared" si="358"/>
        <v>5000</v>
      </c>
      <c r="Y2399" s="16">
        <f t="shared" si="359"/>
        <v>0</v>
      </c>
    </row>
    <row r="2400" spans="1:25" s="42" customFormat="1" ht="15">
      <c r="A2400" s="740"/>
      <c r="B2400" s="446" t="s">
        <v>1639</v>
      </c>
      <c r="C2400" s="649" t="s">
        <v>1857</v>
      </c>
      <c r="D2400" s="444">
        <v>40891</v>
      </c>
      <c r="E2400" s="647"/>
      <c r="F2400" s="42" t="s">
        <v>1730</v>
      </c>
      <c r="H2400" s="283"/>
      <c r="I2400" s="283"/>
      <c r="J2400" s="445"/>
      <c r="K2400" s="283">
        <v>13400</v>
      </c>
      <c r="L2400" s="283"/>
      <c r="M2400" s="283">
        <f t="shared" si="357"/>
        <v>13400</v>
      </c>
      <c r="N2400" s="283"/>
      <c r="O2400" s="815"/>
      <c r="P2400" s="108" t="s">
        <v>103</v>
      </c>
      <c r="Q2400" s="351">
        <v>13400</v>
      </c>
      <c r="R2400" s="351">
        <v>13400</v>
      </c>
      <c r="S2400" s="933"/>
      <c r="T2400" s="933"/>
      <c r="U2400" s="933"/>
      <c r="W2400" s="42" t="s">
        <v>930</v>
      </c>
      <c r="X2400" s="16">
        <f t="shared" si="358"/>
        <v>13400</v>
      </c>
      <c r="Y2400" s="16">
        <f t="shared" si="359"/>
        <v>0</v>
      </c>
    </row>
    <row r="2401" spans="1:25" s="42" customFormat="1" ht="15">
      <c r="A2401" s="740"/>
      <c r="B2401" s="446" t="s">
        <v>1591</v>
      </c>
      <c r="C2401" s="649" t="s">
        <v>1858</v>
      </c>
      <c r="D2401" s="444">
        <v>40892</v>
      </c>
      <c r="E2401" s="647"/>
      <c r="F2401" s="42" t="s">
        <v>315</v>
      </c>
      <c r="H2401" s="283"/>
      <c r="I2401" s="283"/>
      <c r="J2401" s="445"/>
      <c r="K2401" s="283">
        <v>5000</v>
      </c>
      <c r="L2401" s="283"/>
      <c r="M2401" s="283">
        <f t="shared" si="357"/>
        <v>5000</v>
      </c>
      <c r="N2401" s="283"/>
      <c r="O2401" s="815"/>
      <c r="P2401" s="108" t="s">
        <v>103</v>
      </c>
      <c r="Q2401" s="522">
        <f>SUM(Q2402:Q2403)</f>
        <v>5000</v>
      </c>
      <c r="R2401" s="522">
        <f>SUM(R2402:R2403)</f>
        <v>5000</v>
      </c>
      <c r="S2401" s="933"/>
      <c r="T2401" s="933"/>
      <c r="U2401" s="933"/>
      <c r="W2401" s="42" t="s">
        <v>930</v>
      </c>
      <c r="X2401" s="16">
        <f t="shared" si="358"/>
        <v>5000</v>
      </c>
      <c r="Y2401" s="16">
        <f t="shared" si="359"/>
        <v>0</v>
      </c>
    </row>
    <row r="2402" spans="1:25" s="42" customFormat="1" ht="15">
      <c r="A2402" s="740"/>
      <c r="B2402" s="715" t="s">
        <v>6344</v>
      </c>
      <c r="C2402" s="649"/>
      <c r="D2402" s="444"/>
      <c r="E2402" s="647"/>
      <c r="H2402" s="283"/>
      <c r="I2402" s="283"/>
      <c r="J2402" s="445"/>
      <c r="K2402" s="283"/>
      <c r="L2402" s="283"/>
      <c r="M2402" s="283"/>
      <c r="N2402" s="283"/>
      <c r="O2402" s="815"/>
      <c r="P2402" s="108"/>
      <c r="Q2402" s="351">
        <v>2500</v>
      </c>
      <c r="R2402" s="351">
        <v>2500</v>
      </c>
      <c r="S2402" s="933" t="s">
        <v>6346</v>
      </c>
      <c r="T2402" s="933"/>
      <c r="U2402" s="933"/>
      <c r="X2402" s="16"/>
      <c r="Y2402" s="16"/>
    </row>
    <row r="2403" spans="1:25" s="42" customFormat="1" ht="15">
      <c r="A2403" s="740"/>
      <c r="B2403" s="715" t="s">
        <v>6345</v>
      </c>
      <c r="C2403" s="649"/>
      <c r="D2403" s="444"/>
      <c r="E2403" s="647"/>
      <c r="H2403" s="283"/>
      <c r="I2403" s="283"/>
      <c r="J2403" s="445"/>
      <c r="K2403" s="283"/>
      <c r="L2403" s="283"/>
      <c r="M2403" s="283"/>
      <c r="N2403" s="283"/>
      <c r="O2403" s="815"/>
      <c r="P2403" s="108"/>
      <c r="Q2403" s="351">
        <v>2500</v>
      </c>
      <c r="R2403" s="351">
        <v>2500</v>
      </c>
      <c r="S2403" s="933"/>
      <c r="T2403" s="933"/>
      <c r="U2403" s="933"/>
      <c r="X2403" s="16"/>
      <c r="Y2403" s="16"/>
    </row>
    <row r="2404" spans="1:25" s="42" customFormat="1" ht="15">
      <c r="A2404" s="740"/>
      <c r="B2404" s="446" t="s">
        <v>1639</v>
      </c>
      <c r="C2404" s="649" t="s">
        <v>1860</v>
      </c>
      <c r="D2404" s="444">
        <v>40892</v>
      </c>
      <c r="E2404" s="647"/>
      <c r="F2404" s="42" t="s">
        <v>1859</v>
      </c>
      <c r="H2404" s="283"/>
      <c r="I2404" s="283"/>
      <c r="J2404" s="445"/>
      <c r="K2404" s="283">
        <v>20000</v>
      </c>
      <c r="L2404" s="283"/>
      <c r="M2404" s="283">
        <f t="shared" si="357"/>
        <v>20000</v>
      </c>
      <c r="N2404" s="283"/>
      <c r="O2404" s="815"/>
      <c r="P2404" s="108" t="s">
        <v>103</v>
      </c>
      <c r="Q2404" s="351">
        <v>20000</v>
      </c>
      <c r="R2404" s="351">
        <v>20000</v>
      </c>
      <c r="S2404" s="933"/>
      <c r="T2404" s="933"/>
      <c r="U2404" s="933"/>
      <c r="W2404" s="42" t="s">
        <v>930</v>
      </c>
      <c r="X2404" s="16">
        <f t="shared" si="358"/>
        <v>20000</v>
      </c>
      <c r="Y2404" s="16">
        <f t="shared" si="359"/>
        <v>0</v>
      </c>
    </row>
    <row r="2405" spans="1:25" s="42" customFormat="1" ht="45.75" customHeight="1">
      <c r="A2405" s="740"/>
      <c r="B2405" s="101" t="s">
        <v>1616</v>
      </c>
      <c r="C2405" s="647" t="s">
        <v>1862</v>
      </c>
      <c r="D2405" s="527">
        <v>40892</v>
      </c>
      <c r="E2405" s="647"/>
      <c r="F2405" s="525" t="s">
        <v>1861</v>
      </c>
      <c r="G2405" s="525"/>
      <c r="H2405" s="21"/>
      <c r="I2405" s="21"/>
      <c r="J2405" s="528"/>
      <c r="K2405" s="21">
        <v>55000</v>
      </c>
      <c r="L2405" s="21"/>
      <c r="M2405" s="21">
        <f t="shared" si="357"/>
        <v>55000</v>
      </c>
      <c r="N2405" s="21"/>
      <c r="O2405" s="58"/>
      <c r="P2405" s="108" t="s">
        <v>103</v>
      </c>
      <c r="Q2405" s="93">
        <v>55000</v>
      </c>
      <c r="R2405" s="93">
        <v>54836</v>
      </c>
      <c r="S2405" s="1326" t="s">
        <v>5803</v>
      </c>
      <c r="T2405" s="1326"/>
      <c r="U2405" s="1326"/>
      <c r="V2405" s="525"/>
      <c r="W2405" s="525" t="s">
        <v>930</v>
      </c>
      <c r="X2405" s="16">
        <f t="shared" si="358"/>
        <v>55000</v>
      </c>
      <c r="Y2405" s="16">
        <f t="shared" si="359"/>
        <v>0</v>
      </c>
    </row>
    <row r="2406" spans="1:25" s="42" customFormat="1" ht="15">
      <c r="A2406" s="740"/>
      <c r="B2406" s="446" t="s">
        <v>1591</v>
      </c>
      <c r="C2406" s="649" t="s">
        <v>1863</v>
      </c>
      <c r="D2406" s="444">
        <v>40897</v>
      </c>
      <c r="E2406" s="647"/>
      <c r="F2406" s="42" t="s">
        <v>315</v>
      </c>
      <c r="H2406" s="283"/>
      <c r="I2406" s="283"/>
      <c r="J2406" s="445"/>
      <c r="K2406" s="283">
        <v>10000</v>
      </c>
      <c r="L2406" s="283"/>
      <c r="M2406" s="283">
        <f t="shared" si="357"/>
        <v>10000</v>
      </c>
      <c r="N2406" s="283"/>
      <c r="O2406" s="815"/>
      <c r="P2406" s="108" t="s">
        <v>103</v>
      </c>
      <c r="Q2406" s="351">
        <v>10000</v>
      </c>
      <c r="R2406" s="351">
        <v>10000</v>
      </c>
      <c r="S2406" s="933"/>
      <c r="T2406" s="933"/>
      <c r="U2406" s="933"/>
      <c r="W2406" s="42" t="s">
        <v>930</v>
      </c>
      <c r="X2406" s="16">
        <f t="shared" si="358"/>
        <v>10000</v>
      </c>
      <c r="Y2406" s="16">
        <f t="shared" si="359"/>
        <v>0</v>
      </c>
    </row>
    <row r="2407" spans="1:25" s="42" customFormat="1" ht="15">
      <c r="A2407" s="740"/>
      <c r="B2407" s="446" t="s">
        <v>1675</v>
      </c>
      <c r="C2407" s="649" t="s">
        <v>1864</v>
      </c>
      <c r="D2407" s="444">
        <v>40897</v>
      </c>
      <c r="E2407" s="647"/>
      <c r="F2407" s="42" t="s">
        <v>315</v>
      </c>
      <c r="H2407" s="283"/>
      <c r="I2407" s="283"/>
      <c r="J2407" s="445"/>
      <c r="K2407" s="283">
        <v>35000</v>
      </c>
      <c r="L2407" s="283"/>
      <c r="M2407" s="283">
        <f t="shared" si="357"/>
        <v>35000</v>
      </c>
      <c r="N2407" s="283"/>
      <c r="O2407" s="815"/>
      <c r="P2407" s="108" t="s">
        <v>103</v>
      </c>
      <c r="Q2407" s="351">
        <v>35000</v>
      </c>
      <c r="R2407" s="351">
        <v>35000</v>
      </c>
      <c r="S2407" s="933"/>
      <c r="T2407" s="933"/>
      <c r="U2407" s="933"/>
      <c r="W2407" s="42" t="s">
        <v>930</v>
      </c>
      <c r="X2407" s="16">
        <f t="shared" si="358"/>
        <v>35000</v>
      </c>
      <c r="Y2407" s="16">
        <f t="shared" si="359"/>
        <v>0</v>
      </c>
    </row>
    <row r="2408" spans="1:25" s="42" customFormat="1" ht="15">
      <c r="A2408" s="740"/>
      <c r="B2408" s="446" t="s">
        <v>1607</v>
      </c>
      <c r="C2408" s="649" t="s">
        <v>1866</v>
      </c>
      <c r="D2408" s="444">
        <v>40897</v>
      </c>
      <c r="E2408" s="647"/>
      <c r="F2408" s="42" t="s">
        <v>1865</v>
      </c>
      <c r="H2408" s="283"/>
      <c r="I2408" s="283"/>
      <c r="J2408" s="445"/>
      <c r="K2408" s="283">
        <v>1000</v>
      </c>
      <c r="L2408" s="283"/>
      <c r="M2408" s="283">
        <f t="shared" si="357"/>
        <v>1000</v>
      </c>
      <c r="N2408" s="283"/>
      <c r="O2408" s="815"/>
      <c r="P2408" s="108" t="s">
        <v>103</v>
      </c>
      <c r="Q2408" s="351">
        <v>1000</v>
      </c>
      <c r="R2408" s="351">
        <v>1000</v>
      </c>
      <c r="S2408" s="933"/>
      <c r="T2408" s="933"/>
      <c r="U2408" s="933"/>
      <c r="W2408" s="42" t="s">
        <v>930</v>
      </c>
      <c r="X2408" s="16">
        <f t="shared" si="358"/>
        <v>1000</v>
      </c>
      <c r="Y2408" s="16">
        <f t="shared" si="359"/>
        <v>0</v>
      </c>
    </row>
    <row r="2409" spans="1:25" s="42" customFormat="1" ht="15">
      <c r="A2409" s="740"/>
      <c r="B2409" s="446"/>
      <c r="C2409" s="649"/>
      <c r="D2409" s="444"/>
      <c r="E2409" s="647"/>
      <c r="H2409" s="283"/>
      <c r="I2409" s="283"/>
      <c r="J2409" s="445"/>
      <c r="K2409" s="283"/>
      <c r="L2409" s="283"/>
      <c r="M2409" s="283"/>
      <c r="N2409" s="283"/>
      <c r="O2409" s="815"/>
      <c r="P2409" s="108"/>
      <c r="Q2409" s="351"/>
      <c r="R2409" s="351"/>
      <c r="S2409" s="933"/>
      <c r="T2409" s="933"/>
      <c r="U2409" s="933"/>
      <c r="X2409" s="16"/>
      <c r="Y2409" s="16"/>
    </row>
    <row r="2410" spans="1:25" s="42" customFormat="1" ht="15">
      <c r="A2410" s="740"/>
      <c r="B2410" s="446" t="s">
        <v>1678</v>
      </c>
      <c r="C2410" s="649" t="s">
        <v>1867</v>
      </c>
      <c r="D2410" s="444">
        <v>40897</v>
      </c>
      <c r="E2410" s="647"/>
      <c r="F2410" s="42" t="s">
        <v>315</v>
      </c>
      <c r="H2410" s="283"/>
      <c r="I2410" s="283"/>
      <c r="J2410" s="445"/>
      <c r="K2410" s="283">
        <v>7000</v>
      </c>
      <c r="L2410" s="283"/>
      <c r="M2410" s="283">
        <f t="shared" si="357"/>
        <v>7000</v>
      </c>
      <c r="N2410" s="283"/>
      <c r="O2410" s="815"/>
      <c r="P2410" s="108" t="s">
        <v>103</v>
      </c>
      <c r="Q2410" s="522">
        <f>SUM(Q2411:Q2413)</f>
        <v>7000</v>
      </c>
      <c r="R2410" s="522">
        <f>SUM(R2411:R2413)</f>
        <v>7000</v>
      </c>
      <c r="S2410" s="1067" t="s">
        <v>6134</v>
      </c>
      <c r="T2410" s="933"/>
      <c r="U2410" s="933"/>
      <c r="W2410" s="42" t="s">
        <v>930</v>
      </c>
      <c r="X2410" s="16">
        <f t="shared" si="358"/>
        <v>7000</v>
      </c>
      <c r="Y2410" s="16">
        <f t="shared" si="359"/>
        <v>0</v>
      </c>
    </row>
    <row r="2411" spans="1:25" s="42" customFormat="1" ht="15">
      <c r="A2411" s="740"/>
      <c r="B2411" s="553" t="s">
        <v>5124</v>
      </c>
      <c r="C2411" s="649"/>
      <c r="D2411" s="444"/>
      <c r="E2411" s="647"/>
      <c r="H2411" s="283"/>
      <c r="I2411" s="283"/>
      <c r="J2411" s="445"/>
      <c r="K2411" s="791"/>
      <c r="L2411" s="283"/>
      <c r="M2411" s="283">
        <f>SUM(K2411:L2411)</f>
        <v>0</v>
      </c>
      <c r="N2411" s="283"/>
      <c r="O2411" s="815"/>
      <c r="P2411" s="108"/>
      <c r="Q2411" s="93">
        <v>5000</v>
      </c>
      <c r="R2411" s="93">
        <v>5000</v>
      </c>
      <c r="S2411" s="1326" t="s">
        <v>5126</v>
      </c>
      <c r="T2411" s="1326"/>
      <c r="U2411" s="1326"/>
      <c r="X2411" s="16"/>
      <c r="Y2411" s="16"/>
    </row>
    <row r="2412" spans="1:25" s="42" customFormat="1" ht="15">
      <c r="A2412" s="740"/>
      <c r="B2412" s="553" t="s">
        <v>5124</v>
      </c>
      <c r="C2412" s="649"/>
      <c r="D2412" s="444"/>
      <c r="E2412" s="647"/>
      <c r="H2412" s="283"/>
      <c r="I2412" s="283"/>
      <c r="J2412" s="445"/>
      <c r="K2412" s="791"/>
      <c r="L2412" s="283"/>
      <c r="M2412" s="283">
        <f>SUM(K2412:L2412)</f>
        <v>0</v>
      </c>
      <c r="N2412" s="283"/>
      <c r="O2412" s="815"/>
      <c r="P2412" s="108"/>
      <c r="Q2412" s="93">
        <v>1000</v>
      </c>
      <c r="R2412" s="93">
        <v>1000</v>
      </c>
      <c r="S2412" s="1326" t="s">
        <v>5127</v>
      </c>
      <c r="T2412" s="1326"/>
      <c r="U2412" s="1326"/>
      <c r="X2412" s="16"/>
      <c r="Y2412" s="16"/>
    </row>
    <row r="2413" spans="1:25" s="42" customFormat="1" ht="15">
      <c r="A2413" s="740"/>
      <c r="B2413" s="553" t="s">
        <v>5125</v>
      </c>
      <c r="C2413" s="649"/>
      <c r="D2413" s="444"/>
      <c r="E2413" s="647"/>
      <c r="H2413" s="283"/>
      <c r="I2413" s="283"/>
      <c r="J2413" s="445"/>
      <c r="K2413" s="791"/>
      <c r="L2413" s="283"/>
      <c r="M2413" s="283">
        <f>SUM(K2413:L2413)</f>
        <v>0</v>
      </c>
      <c r="N2413" s="283"/>
      <c r="O2413" s="815"/>
      <c r="P2413" s="108"/>
      <c r="Q2413" s="93">
        <v>1000</v>
      </c>
      <c r="R2413" s="93">
        <v>1000</v>
      </c>
      <c r="S2413" s="1326" t="s">
        <v>5802</v>
      </c>
      <c r="T2413" s="1326"/>
      <c r="U2413" s="1326"/>
      <c r="X2413" s="16"/>
      <c r="Y2413" s="16"/>
    </row>
    <row r="2414" spans="1:25" s="42" customFormat="1" ht="15">
      <c r="A2414" s="740"/>
      <c r="B2414" s="446" t="s">
        <v>1616</v>
      </c>
      <c r="C2414" s="649" t="s">
        <v>1868</v>
      </c>
      <c r="D2414" s="444">
        <v>40897</v>
      </c>
      <c r="E2414" s="647"/>
      <c r="F2414" s="42" t="s">
        <v>315</v>
      </c>
      <c r="H2414" s="283"/>
      <c r="I2414" s="283"/>
      <c r="J2414" s="445"/>
      <c r="K2414" s="283">
        <v>4000</v>
      </c>
      <c r="L2414" s="283"/>
      <c r="M2414" s="283">
        <f t="shared" si="357"/>
        <v>4000</v>
      </c>
      <c r="N2414" s="283"/>
      <c r="O2414" s="815"/>
      <c r="P2414" s="108" t="s">
        <v>103</v>
      </c>
      <c r="Q2414" s="351">
        <v>4000</v>
      </c>
      <c r="R2414" s="351">
        <v>4000</v>
      </c>
      <c r="S2414" s="933"/>
      <c r="T2414" s="933"/>
      <c r="U2414" s="933"/>
      <c r="W2414" s="42" t="s">
        <v>930</v>
      </c>
      <c r="X2414" s="16">
        <f t="shared" si="358"/>
        <v>4000</v>
      </c>
      <c r="Y2414" s="16">
        <f t="shared" ref="Y2414:Y2422" si="360">X2414-M2414</f>
        <v>0</v>
      </c>
    </row>
    <row r="2415" spans="1:25" s="42" customFormat="1" ht="15">
      <c r="A2415" s="740"/>
      <c r="B2415" s="446" t="s">
        <v>1651</v>
      </c>
      <c r="C2415" s="649" t="s">
        <v>1869</v>
      </c>
      <c r="D2415" s="444">
        <v>40897</v>
      </c>
      <c r="E2415" s="647"/>
      <c r="F2415" s="42" t="s">
        <v>315</v>
      </c>
      <c r="H2415" s="283"/>
      <c r="I2415" s="283"/>
      <c r="J2415" s="445"/>
      <c r="K2415" s="283">
        <v>5500</v>
      </c>
      <c r="L2415" s="283"/>
      <c r="M2415" s="283">
        <f t="shared" si="357"/>
        <v>5500</v>
      </c>
      <c r="N2415" s="283"/>
      <c r="O2415" s="815"/>
      <c r="P2415" s="108" t="s">
        <v>103</v>
      </c>
      <c r="Q2415" s="351">
        <v>5500</v>
      </c>
      <c r="R2415" s="351">
        <v>5500</v>
      </c>
      <c r="S2415" s="933"/>
      <c r="T2415" s="933"/>
      <c r="U2415" s="933"/>
      <c r="W2415" s="42" t="s">
        <v>930</v>
      </c>
      <c r="X2415" s="16">
        <f t="shared" si="358"/>
        <v>5500</v>
      </c>
      <c r="Y2415" s="16">
        <f t="shared" si="360"/>
        <v>0</v>
      </c>
    </row>
    <row r="2416" spans="1:25" s="42" customFormat="1" ht="15">
      <c r="A2416" s="740"/>
      <c r="B2416" s="446" t="s">
        <v>1639</v>
      </c>
      <c r="C2416" s="649" t="s">
        <v>1870</v>
      </c>
      <c r="D2416" s="444">
        <v>40897</v>
      </c>
      <c r="E2416" s="647"/>
      <c r="F2416" s="42" t="s">
        <v>315</v>
      </c>
      <c r="H2416" s="283"/>
      <c r="I2416" s="283"/>
      <c r="J2416" s="445"/>
      <c r="K2416" s="283">
        <v>4000</v>
      </c>
      <c r="L2416" s="283"/>
      <c r="M2416" s="283">
        <f t="shared" si="357"/>
        <v>4000</v>
      </c>
      <c r="N2416" s="283"/>
      <c r="O2416" s="815"/>
      <c r="P2416" s="108" t="s">
        <v>103</v>
      </c>
      <c r="Q2416" s="351">
        <v>4000</v>
      </c>
      <c r="R2416" s="351">
        <v>4000</v>
      </c>
      <c r="S2416" s="933"/>
      <c r="T2416" s="933"/>
      <c r="U2416" s="933"/>
      <c r="W2416" s="42" t="s">
        <v>930</v>
      </c>
      <c r="X2416" s="16">
        <f t="shared" si="358"/>
        <v>4000</v>
      </c>
      <c r="Y2416" s="16">
        <f t="shared" si="360"/>
        <v>0</v>
      </c>
    </row>
    <row r="2417" spans="1:25" s="42" customFormat="1" ht="15">
      <c r="A2417" s="740"/>
      <c r="B2417" s="446" t="s">
        <v>1591</v>
      </c>
      <c r="C2417" s="649" t="s">
        <v>1872</v>
      </c>
      <c r="D2417" s="444">
        <v>40897</v>
      </c>
      <c r="E2417" s="647"/>
      <c r="F2417" s="42" t="s">
        <v>1871</v>
      </c>
      <c r="H2417" s="283"/>
      <c r="I2417" s="283"/>
      <c r="J2417" s="445"/>
      <c r="K2417" s="283">
        <v>1500</v>
      </c>
      <c r="L2417" s="283"/>
      <c r="M2417" s="283">
        <f t="shared" si="357"/>
        <v>1500</v>
      </c>
      <c r="N2417" s="283"/>
      <c r="O2417" s="815"/>
      <c r="P2417" s="108" t="s">
        <v>103</v>
      </c>
      <c r="Q2417" s="351">
        <v>1500</v>
      </c>
      <c r="R2417" s="351">
        <v>1500</v>
      </c>
      <c r="S2417" s="933"/>
      <c r="T2417" s="933"/>
      <c r="U2417" s="933"/>
      <c r="W2417" s="42" t="s">
        <v>930</v>
      </c>
      <c r="X2417" s="16">
        <f t="shared" si="358"/>
        <v>1500</v>
      </c>
      <c r="Y2417" s="16">
        <f t="shared" si="360"/>
        <v>0</v>
      </c>
    </row>
    <row r="2418" spans="1:25" s="42" customFormat="1" ht="15">
      <c r="A2418" s="740"/>
      <c r="B2418" s="446" t="s">
        <v>1648</v>
      </c>
      <c r="C2418" s="649" t="s">
        <v>1874</v>
      </c>
      <c r="D2418" s="444">
        <v>40897</v>
      </c>
      <c r="E2418" s="647"/>
      <c r="F2418" s="42" t="s">
        <v>1873</v>
      </c>
      <c r="H2418" s="283"/>
      <c r="I2418" s="283"/>
      <c r="J2418" s="445"/>
      <c r="K2418" s="283">
        <v>1000</v>
      </c>
      <c r="L2418" s="283"/>
      <c r="M2418" s="283">
        <f t="shared" si="357"/>
        <v>1000</v>
      </c>
      <c r="N2418" s="283"/>
      <c r="O2418" s="815"/>
      <c r="P2418" s="108" t="s">
        <v>103</v>
      </c>
      <c r="Q2418" s="351">
        <v>1000</v>
      </c>
      <c r="R2418" s="351">
        <v>1000</v>
      </c>
      <c r="S2418" s="933">
        <v>995</v>
      </c>
      <c r="T2418" s="933"/>
      <c r="U2418" s="933"/>
      <c r="W2418" s="42" t="s">
        <v>930</v>
      </c>
      <c r="X2418" s="16">
        <f t="shared" si="358"/>
        <v>1000</v>
      </c>
      <c r="Y2418" s="16">
        <f t="shared" si="360"/>
        <v>0</v>
      </c>
    </row>
    <row r="2419" spans="1:25" s="42" customFormat="1" ht="45" customHeight="1">
      <c r="A2419" s="740"/>
      <c r="B2419" s="446" t="s">
        <v>1600</v>
      </c>
      <c r="C2419" s="649" t="s">
        <v>1876</v>
      </c>
      <c r="D2419" s="444">
        <v>40897</v>
      </c>
      <c r="E2419" s="647"/>
      <c r="F2419" s="42" t="s">
        <v>1875</v>
      </c>
      <c r="H2419" s="283"/>
      <c r="I2419" s="283"/>
      <c r="J2419" s="445"/>
      <c r="K2419" s="283">
        <v>1500</v>
      </c>
      <c r="L2419" s="283"/>
      <c r="M2419" s="283">
        <f t="shared" si="357"/>
        <v>1500</v>
      </c>
      <c r="N2419" s="283"/>
      <c r="O2419" s="815"/>
      <c r="P2419" s="108" t="s">
        <v>103</v>
      </c>
      <c r="Q2419" s="351">
        <v>1500</v>
      </c>
      <c r="R2419" s="351">
        <v>1500</v>
      </c>
      <c r="S2419" s="1328" t="s">
        <v>1877</v>
      </c>
      <c r="T2419" s="1328"/>
      <c r="U2419" s="1328"/>
      <c r="W2419" s="42" t="s">
        <v>930</v>
      </c>
      <c r="X2419" s="16">
        <f t="shared" si="358"/>
        <v>1500</v>
      </c>
      <c r="Y2419" s="16">
        <f t="shared" si="360"/>
        <v>0</v>
      </c>
    </row>
    <row r="2420" spans="1:25" s="42" customFormat="1" ht="15">
      <c r="A2420" s="740"/>
      <c r="B2420" s="446" t="s">
        <v>1642</v>
      </c>
      <c r="C2420" s="649" t="s">
        <v>1879</v>
      </c>
      <c r="D2420" s="444">
        <v>40897</v>
      </c>
      <c r="E2420" s="647"/>
      <c r="F2420" s="42" t="s">
        <v>1878</v>
      </c>
      <c r="H2420" s="283"/>
      <c r="I2420" s="283"/>
      <c r="J2420" s="445"/>
      <c r="K2420" s="283">
        <v>1000</v>
      </c>
      <c r="L2420" s="283"/>
      <c r="M2420" s="283">
        <f t="shared" si="357"/>
        <v>1000</v>
      </c>
      <c r="N2420" s="283"/>
      <c r="O2420" s="815"/>
      <c r="P2420" s="108" t="s">
        <v>103</v>
      </c>
      <c r="Q2420" s="351">
        <v>1000</v>
      </c>
      <c r="R2420" s="351">
        <v>1000</v>
      </c>
      <c r="S2420" s="894" t="s">
        <v>4655</v>
      </c>
      <c r="T2420" s="933"/>
      <c r="U2420" s="933"/>
      <c r="W2420" s="42" t="s">
        <v>930</v>
      </c>
      <c r="X2420" s="16">
        <f t="shared" si="358"/>
        <v>1000</v>
      </c>
      <c r="Y2420" s="16">
        <f t="shared" si="360"/>
        <v>0</v>
      </c>
    </row>
    <row r="2421" spans="1:25" s="42" customFormat="1" ht="15">
      <c r="A2421" s="740"/>
      <c r="B2421" s="446"/>
      <c r="C2421" s="649"/>
      <c r="D2421" s="444"/>
      <c r="E2421" s="647"/>
      <c r="H2421" s="283"/>
      <c r="I2421" s="283"/>
      <c r="J2421" s="445"/>
      <c r="K2421" s="283"/>
      <c r="L2421" s="283"/>
      <c r="M2421" s="283"/>
      <c r="N2421" s="283"/>
      <c r="O2421" s="815"/>
      <c r="P2421" s="108"/>
      <c r="Q2421" s="351"/>
      <c r="R2421" s="351"/>
      <c r="S2421" s="894"/>
      <c r="T2421" s="933"/>
      <c r="U2421" s="933"/>
      <c r="X2421" s="16"/>
      <c r="Y2421" s="16"/>
    </row>
    <row r="2422" spans="1:25" s="42" customFormat="1" ht="15">
      <c r="A2422" s="740"/>
      <c r="B2422" s="446" t="s">
        <v>1678</v>
      </c>
      <c r="C2422" s="649" t="s">
        <v>1880</v>
      </c>
      <c r="D2422" s="444">
        <v>40897</v>
      </c>
      <c r="E2422" s="647"/>
      <c r="F2422" s="42" t="s">
        <v>315</v>
      </c>
      <c r="H2422" s="283"/>
      <c r="I2422" s="283"/>
      <c r="J2422" s="445"/>
      <c r="K2422" s="283">
        <v>17000</v>
      </c>
      <c r="L2422" s="283"/>
      <c r="M2422" s="283">
        <f t="shared" ref="M2422:M2428" si="361">SUM(K2422:L2422)</f>
        <v>17000</v>
      </c>
      <c r="N2422" s="283"/>
      <c r="O2422" s="815"/>
      <c r="P2422" s="108" t="s">
        <v>103</v>
      </c>
      <c r="Q2422" s="522">
        <f>SUM(Q2423:Q2428)</f>
        <v>17000</v>
      </c>
      <c r="R2422" s="522">
        <f>SUM(R2423:R2428)</f>
        <v>17000</v>
      </c>
      <c r="S2422" s="1067" t="s">
        <v>6134</v>
      </c>
      <c r="T2422" s="933"/>
      <c r="U2422" s="933"/>
      <c r="W2422" s="42" t="s">
        <v>930</v>
      </c>
      <c r="X2422" s="16">
        <f t="shared" si="358"/>
        <v>17000</v>
      </c>
      <c r="Y2422" s="16">
        <f t="shared" si="360"/>
        <v>0</v>
      </c>
    </row>
    <row r="2423" spans="1:25" s="42" customFormat="1" ht="30" customHeight="1">
      <c r="A2423" s="740"/>
      <c r="B2423" s="101" t="s">
        <v>5130</v>
      </c>
      <c r="C2423" s="649"/>
      <c r="D2423" s="444"/>
      <c r="E2423" s="647"/>
      <c r="H2423" s="283"/>
      <c r="I2423" s="283"/>
      <c r="J2423" s="445"/>
      <c r="K2423" s="791"/>
      <c r="L2423" s="283"/>
      <c r="M2423" s="283">
        <f t="shared" si="361"/>
        <v>0</v>
      </c>
      <c r="N2423" s="283"/>
      <c r="O2423" s="815"/>
      <c r="P2423" s="108"/>
      <c r="Q2423" s="93">
        <v>5000</v>
      </c>
      <c r="R2423" s="93">
        <v>5000</v>
      </c>
      <c r="S2423" s="1326" t="s">
        <v>5128</v>
      </c>
      <c r="T2423" s="1326"/>
      <c r="U2423" s="1326"/>
      <c r="X2423" s="16"/>
      <c r="Y2423" s="16"/>
    </row>
    <row r="2424" spans="1:25" s="42" customFormat="1" ht="30" customHeight="1">
      <c r="A2424" s="740"/>
      <c r="B2424" s="101" t="s">
        <v>4031</v>
      </c>
      <c r="C2424" s="649"/>
      <c r="D2424" s="444"/>
      <c r="E2424" s="647"/>
      <c r="H2424" s="283"/>
      <c r="I2424" s="283"/>
      <c r="J2424" s="445"/>
      <c r="K2424" s="791"/>
      <c r="L2424" s="283"/>
      <c r="M2424" s="283">
        <f t="shared" si="361"/>
        <v>0</v>
      </c>
      <c r="N2424" s="283"/>
      <c r="O2424" s="815"/>
      <c r="P2424" s="108"/>
      <c r="Q2424" s="93">
        <v>5000</v>
      </c>
      <c r="R2424" s="93">
        <v>5000</v>
      </c>
      <c r="S2424" s="1326" t="s">
        <v>5801</v>
      </c>
      <c r="T2424" s="1326"/>
      <c r="U2424" s="1326"/>
      <c r="X2424" s="16"/>
      <c r="Y2424" s="16"/>
    </row>
    <row r="2425" spans="1:25" s="42" customFormat="1" ht="15">
      <c r="A2425" s="740"/>
      <c r="B2425" s="446" t="s">
        <v>5131</v>
      </c>
      <c r="C2425" s="649"/>
      <c r="D2425" s="444"/>
      <c r="E2425" s="647"/>
      <c r="H2425" s="283"/>
      <c r="I2425" s="283"/>
      <c r="J2425" s="445"/>
      <c r="K2425" s="791"/>
      <c r="L2425" s="283"/>
      <c r="M2425" s="283">
        <f t="shared" si="361"/>
        <v>0</v>
      </c>
      <c r="N2425" s="283"/>
      <c r="O2425" s="815"/>
      <c r="P2425" s="108"/>
      <c r="Q2425" s="351">
        <v>2000</v>
      </c>
      <c r="R2425" s="351">
        <v>2000</v>
      </c>
      <c r="S2425" s="1111" t="s">
        <v>5129</v>
      </c>
      <c r="T2425" s="933"/>
      <c r="U2425" s="933"/>
      <c r="X2425" s="16"/>
      <c r="Y2425" s="16"/>
    </row>
    <row r="2426" spans="1:25" s="42" customFormat="1" ht="15">
      <c r="A2426" s="740"/>
      <c r="B2426" s="446" t="s">
        <v>5118</v>
      </c>
      <c r="C2426" s="649"/>
      <c r="D2426" s="444"/>
      <c r="E2426" s="647"/>
      <c r="H2426" s="283"/>
      <c r="I2426" s="283"/>
      <c r="J2426" s="445"/>
      <c r="K2426" s="791"/>
      <c r="L2426" s="283"/>
      <c r="M2426" s="283">
        <f t="shared" si="361"/>
        <v>0</v>
      </c>
      <c r="N2426" s="283"/>
      <c r="O2426" s="815"/>
      <c r="P2426" s="108"/>
      <c r="Q2426" s="351">
        <v>2000</v>
      </c>
      <c r="R2426" s="351">
        <v>2000</v>
      </c>
      <c r="S2426" s="1111" t="s">
        <v>5129</v>
      </c>
      <c r="T2426" s="933"/>
      <c r="U2426" s="933"/>
      <c r="X2426" s="16"/>
      <c r="Y2426" s="16"/>
    </row>
    <row r="2427" spans="1:25" s="42" customFormat="1" ht="15">
      <c r="A2427" s="740"/>
      <c r="B2427" s="446" t="s">
        <v>5132</v>
      </c>
      <c r="C2427" s="649"/>
      <c r="D2427" s="444"/>
      <c r="E2427" s="647"/>
      <c r="H2427" s="283"/>
      <c r="I2427" s="283"/>
      <c r="J2427" s="445"/>
      <c r="K2427" s="791"/>
      <c r="L2427" s="283"/>
      <c r="M2427" s="283">
        <f t="shared" si="361"/>
        <v>0</v>
      </c>
      <c r="N2427" s="283"/>
      <c r="O2427" s="815"/>
      <c r="P2427" s="108"/>
      <c r="Q2427" s="351">
        <v>2000</v>
      </c>
      <c r="R2427" s="351">
        <v>2000</v>
      </c>
      <c r="S2427" s="1111" t="s">
        <v>5129</v>
      </c>
      <c r="T2427" s="933"/>
      <c r="U2427" s="933"/>
      <c r="X2427" s="16"/>
      <c r="Y2427" s="16"/>
    </row>
    <row r="2428" spans="1:25" s="42" customFormat="1" ht="15">
      <c r="A2428" s="740"/>
      <c r="B2428" s="446" t="s">
        <v>5133</v>
      </c>
      <c r="C2428" s="649"/>
      <c r="D2428" s="444"/>
      <c r="E2428" s="647"/>
      <c r="H2428" s="283"/>
      <c r="I2428" s="283"/>
      <c r="J2428" s="445"/>
      <c r="K2428" s="791"/>
      <c r="L2428" s="283"/>
      <c r="M2428" s="283">
        <f t="shared" si="361"/>
        <v>0</v>
      </c>
      <c r="N2428" s="283"/>
      <c r="O2428" s="815"/>
      <c r="P2428" s="108"/>
      <c r="Q2428" s="351">
        <v>1000</v>
      </c>
      <c r="R2428" s="351">
        <v>1000</v>
      </c>
      <c r="S2428" s="1111" t="s">
        <v>5129</v>
      </c>
      <c r="T2428" s="933"/>
      <c r="U2428" s="933"/>
      <c r="X2428" s="16"/>
      <c r="Y2428" s="16"/>
    </row>
    <row r="2429" spans="1:25" s="42" customFormat="1" ht="15">
      <c r="A2429" s="740"/>
      <c r="B2429" s="446"/>
      <c r="C2429" s="649"/>
      <c r="D2429" s="444"/>
      <c r="E2429" s="647"/>
      <c r="H2429" s="283"/>
      <c r="I2429" s="283"/>
      <c r="J2429" s="445"/>
      <c r="K2429" s="791"/>
      <c r="L2429" s="283"/>
      <c r="M2429" s="283"/>
      <c r="N2429" s="283"/>
      <c r="O2429" s="815"/>
      <c r="P2429" s="108"/>
      <c r="Q2429" s="351"/>
      <c r="R2429" s="351"/>
      <c r="S2429" s="1111"/>
      <c r="T2429" s="933"/>
      <c r="U2429" s="933"/>
      <c r="X2429" s="16"/>
      <c r="Y2429" s="16"/>
    </row>
    <row r="2430" spans="1:25" s="42" customFormat="1" ht="15">
      <c r="A2430" s="740"/>
      <c r="B2430" s="446" t="s">
        <v>1607</v>
      </c>
      <c r="C2430" s="649" t="s">
        <v>1881</v>
      </c>
      <c r="D2430" s="444">
        <v>40897</v>
      </c>
      <c r="E2430" s="647"/>
      <c r="F2430" s="42" t="s">
        <v>315</v>
      </c>
      <c r="H2430" s="283"/>
      <c r="I2430" s="283"/>
      <c r="J2430" s="445"/>
      <c r="K2430" s="283">
        <v>9000</v>
      </c>
      <c r="L2430" s="283"/>
      <c r="M2430" s="283">
        <f t="shared" si="357"/>
        <v>9000</v>
      </c>
      <c r="N2430" s="283"/>
      <c r="O2430" s="815"/>
      <c r="P2430" s="108" t="s">
        <v>103</v>
      </c>
      <c r="Q2430" s="522">
        <f>SUM(Q2431:Q2434)</f>
        <v>8997</v>
      </c>
      <c r="R2430" s="522">
        <f>SUM(R2431:R2434)</f>
        <v>8997</v>
      </c>
      <c r="S2430" s="933"/>
      <c r="T2430" s="933"/>
      <c r="U2430" s="933"/>
      <c r="W2430" s="42" t="s">
        <v>930</v>
      </c>
      <c r="X2430" s="16">
        <f t="shared" si="358"/>
        <v>9000</v>
      </c>
      <c r="Y2430" s="16">
        <f>X2430-M2430</f>
        <v>0</v>
      </c>
    </row>
    <row r="2431" spans="1:25" s="42" customFormat="1" ht="15">
      <c r="A2431" s="740"/>
      <c r="B2431" s="42" t="s">
        <v>5674</v>
      </c>
      <c r="C2431" s="649"/>
      <c r="D2431" s="444"/>
      <c r="E2431" s="647"/>
      <c r="H2431" s="283"/>
      <c r="I2431" s="283"/>
      <c r="J2431" s="445"/>
      <c r="K2431" s="807"/>
      <c r="L2431" s="283"/>
      <c r="M2431" s="283">
        <f t="shared" si="357"/>
        <v>0</v>
      </c>
      <c r="N2431" s="283"/>
      <c r="O2431" s="815"/>
      <c r="P2431" s="108"/>
      <c r="Q2431" s="351">
        <v>1998</v>
      </c>
      <c r="R2431" s="351">
        <v>1998</v>
      </c>
      <c r="S2431" s="933"/>
      <c r="T2431" s="933"/>
      <c r="U2431" s="933"/>
      <c r="X2431" s="16"/>
      <c r="Y2431" s="16"/>
    </row>
    <row r="2432" spans="1:25" s="42" customFormat="1" ht="15">
      <c r="A2432" s="740"/>
      <c r="B2432" s="42" t="s">
        <v>5675</v>
      </c>
      <c r="C2432" s="649"/>
      <c r="D2432" s="444"/>
      <c r="E2432" s="647"/>
      <c r="H2432" s="283"/>
      <c r="I2432" s="283"/>
      <c r="J2432" s="445"/>
      <c r="K2432" s="807"/>
      <c r="L2432" s="283"/>
      <c r="M2432" s="283">
        <f t="shared" si="357"/>
        <v>0</v>
      </c>
      <c r="N2432" s="283"/>
      <c r="O2432" s="815"/>
      <c r="P2432" s="108"/>
      <c r="Q2432" s="351">
        <v>1999</v>
      </c>
      <c r="R2432" s="351">
        <v>1999</v>
      </c>
      <c r="S2432" s="933"/>
      <c r="T2432" s="933"/>
      <c r="U2432" s="933"/>
      <c r="X2432" s="16"/>
      <c r="Y2432" s="16"/>
    </row>
    <row r="2433" spans="1:25" s="42" customFormat="1" ht="15">
      <c r="A2433" s="740"/>
      <c r="B2433" s="42" t="s">
        <v>5676</v>
      </c>
      <c r="C2433" s="649"/>
      <c r="D2433" s="444"/>
      <c r="E2433" s="647"/>
      <c r="H2433" s="283"/>
      <c r="I2433" s="283"/>
      <c r="J2433" s="445"/>
      <c r="K2433" s="807"/>
      <c r="L2433" s="283"/>
      <c r="M2433" s="283">
        <f t="shared" si="357"/>
        <v>0</v>
      </c>
      <c r="N2433" s="283"/>
      <c r="O2433" s="815"/>
      <c r="P2433" s="108"/>
      <c r="Q2433" s="351">
        <v>3000</v>
      </c>
      <c r="R2433" s="351">
        <v>3000</v>
      </c>
      <c r="S2433" s="933"/>
      <c r="T2433" s="933"/>
      <c r="U2433" s="933"/>
      <c r="X2433" s="16"/>
      <c r="Y2433" s="16"/>
    </row>
    <row r="2434" spans="1:25" s="42" customFormat="1" ht="15">
      <c r="A2434" s="740"/>
      <c r="B2434" s="42" t="s">
        <v>5677</v>
      </c>
      <c r="C2434" s="649"/>
      <c r="D2434" s="444"/>
      <c r="E2434" s="647"/>
      <c r="H2434" s="283"/>
      <c r="I2434" s="283"/>
      <c r="J2434" s="445"/>
      <c r="K2434" s="351"/>
      <c r="L2434" s="283"/>
      <c r="M2434" s="283">
        <f t="shared" si="357"/>
        <v>0</v>
      </c>
      <c r="N2434" s="283"/>
      <c r="O2434" s="815"/>
      <c r="P2434" s="108"/>
      <c r="Q2434" s="351">
        <v>2000</v>
      </c>
      <c r="R2434" s="351">
        <v>2000</v>
      </c>
      <c r="S2434" s="933"/>
      <c r="T2434" s="933"/>
      <c r="U2434" s="933"/>
      <c r="X2434" s="16"/>
      <c r="Y2434" s="16"/>
    </row>
    <row r="2435" spans="1:25" s="42" customFormat="1" ht="15">
      <c r="A2435" s="740"/>
      <c r="B2435" s="446" t="s">
        <v>1616</v>
      </c>
      <c r="C2435" s="649" t="s">
        <v>1882</v>
      </c>
      <c r="D2435" s="444">
        <v>40897</v>
      </c>
      <c r="E2435" s="647"/>
      <c r="F2435" s="42" t="s">
        <v>315</v>
      </c>
      <c r="H2435" s="283"/>
      <c r="I2435" s="283"/>
      <c r="J2435" s="445"/>
      <c r="K2435" s="283">
        <v>58000</v>
      </c>
      <c r="L2435" s="283"/>
      <c r="M2435" s="283">
        <f t="shared" si="357"/>
        <v>58000</v>
      </c>
      <c r="N2435" s="283"/>
      <c r="O2435" s="815"/>
      <c r="P2435" s="108" t="s">
        <v>103</v>
      </c>
      <c r="Q2435" s="522">
        <f>SUM(Q2436:Q2443)</f>
        <v>58000</v>
      </c>
      <c r="R2435" s="522">
        <f>SUM(R2436:R2443)</f>
        <v>57871</v>
      </c>
      <c r="S2435" s="933"/>
      <c r="T2435" s="933"/>
      <c r="U2435" s="933"/>
      <c r="W2435" s="42" t="s">
        <v>930</v>
      </c>
      <c r="X2435" s="16">
        <f t="shared" si="358"/>
        <v>58000</v>
      </c>
      <c r="Y2435" s="16">
        <f>X2435-M2435</f>
        <v>0</v>
      </c>
    </row>
    <row r="2436" spans="1:25" s="42" customFormat="1" ht="60" customHeight="1">
      <c r="A2436" s="740"/>
      <c r="B2436" s="918" t="s">
        <v>1883</v>
      </c>
      <c r="C2436" s="649"/>
      <c r="D2436" s="444"/>
      <c r="E2436" s="784"/>
      <c r="H2436" s="283"/>
      <c r="I2436" s="283"/>
      <c r="J2436" s="445"/>
      <c r="K2436" s="283"/>
      <c r="L2436" s="283"/>
      <c r="M2436" s="283"/>
      <c r="N2436" s="283"/>
      <c r="O2436" s="815"/>
      <c r="P2436" s="164"/>
      <c r="Q2436" s="93">
        <v>5000</v>
      </c>
      <c r="R2436" s="93">
        <v>4949</v>
      </c>
      <c r="S2436" s="1326" t="s">
        <v>4745</v>
      </c>
      <c r="T2436" s="1326"/>
      <c r="U2436" s="1326"/>
      <c r="X2436" s="16"/>
      <c r="Y2436" s="16"/>
    </row>
    <row r="2437" spans="1:25" s="42" customFormat="1" ht="30" customHeight="1">
      <c r="A2437" s="740"/>
      <c r="B2437" s="918" t="s">
        <v>1884</v>
      </c>
      <c r="C2437" s="649"/>
      <c r="D2437" s="444"/>
      <c r="E2437" s="784"/>
      <c r="H2437" s="283"/>
      <c r="I2437" s="283"/>
      <c r="J2437" s="445"/>
      <c r="K2437" s="283"/>
      <c r="L2437" s="283"/>
      <c r="M2437" s="283"/>
      <c r="N2437" s="283"/>
      <c r="O2437" s="815"/>
      <c r="P2437" s="164"/>
      <c r="Q2437" s="93">
        <v>15000</v>
      </c>
      <c r="R2437" s="93">
        <v>14927</v>
      </c>
      <c r="S2437" s="1326" t="s">
        <v>4746</v>
      </c>
      <c r="T2437" s="1326"/>
      <c r="U2437" s="1326"/>
      <c r="X2437" s="16"/>
      <c r="Y2437" s="16"/>
    </row>
    <row r="2438" spans="1:25" s="42" customFormat="1" ht="15">
      <c r="A2438" s="740"/>
      <c r="B2438" s="918" t="s">
        <v>1885</v>
      </c>
      <c r="C2438" s="649"/>
      <c r="D2438" s="444"/>
      <c r="E2438" s="784"/>
      <c r="H2438" s="283"/>
      <c r="I2438" s="283"/>
      <c r="J2438" s="445"/>
      <c r="K2438" s="283"/>
      <c r="L2438" s="283"/>
      <c r="M2438" s="283"/>
      <c r="N2438" s="283"/>
      <c r="O2438" s="815"/>
      <c r="P2438" s="164"/>
      <c r="Q2438" s="93">
        <v>10000</v>
      </c>
      <c r="R2438" s="93">
        <v>10000</v>
      </c>
      <c r="S2438" s="927"/>
      <c r="T2438" s="927"/>
      <c r="U2438" s="927"/>
      <c r="X2438" s="16"/>
      <c r="Y2438" s="16"/>
    </row>
    <row r="2439" spans="1:25" s="42" customFormat="1" ht="15">
      <c r="A2439" s="740"/>
      <c r="B2439" s="918" t="s">
        <v>1840</v>
      </c>
      <c r="C2439" s="649"/>
      <c r="D2439" s="444"/>
      <c r="E2439" s="784"/>
      <c r="H2439" s="283"/>
      <c r="I2439" s="283"/>
      <c r="J2439" s="445"/>
      <c r="K2439" s="283"/>
      <c r="L2439" s="283"/>
      <c r="M2439" s="283"/>
      <c r="N2439" s="283"/>
      <c r="O2439" s="815"/>
      <c r="P2439" s="164"/>
      <c r="Q2439" s="93">
        <v>15000</v>
      </c>
      <c r="R2439" s="93">
        <v>15000</v>
      </c>
      <c r="S2439" s="927"/>
      <c r="T2439" s="927"/>
      <c r="U2439" s="927"/>
      <c r="X2439" s="16"/>
      <c r="Y2439" s="16"/>
    </row>
    <row r="2440" spans="1:25" s="42" customFormat="1" ht="30" customHeight="1">
      <c r="A2440" s="740"/>
      <c r="B2440" s="918" t="s">
        <v>1886</v>
      </c>
      <c r="C2440" s="649"/>
      <c r="D2440" s="444"/>
      <c r="E2440" s="784"/>
      <c r="H2440" s="283"/>
      <c r="I2440" s="283"/>
      <c r="J2440" s="445"/>
      <c r="K2440" s="283"/>
      <c r="L2440" s="283"/>
      <c r="M2440" s="283"/>
      <c r="N2440" s="283"/>
      <c r="O2440" s="815"/>
      <c r="P2440" s="164"/>
      <c r="Q2440" s="93">
        <v>1000</v>
      </c>
      <c r="R2440" s="93">
        <v>996</v>
      </c>
      <c r="S2440" s="1326" t="s">
        <v>4747</v>
      </c>
      <c r="T2440" s="1326"/>
      <c r="U2440" s="1326"/>
      <c r="X2440" s="16"/>
      <c r="Y2440" s="16"/>
    </row>
    <row r="2441" spans="1:25" s="42" customFormat="1" ht="15">
      <c r="A2441" s="740"/>
      <c r="B2441" s="918" t="s">
        <v>1887</v>
      </c>
      <c r="C2441" s="649"/>
      <c r="D2441" s="444"/>
      <c r="E2441" s="784"/>
      <c r="H2441" s="283"/>
      <c r="I2441" s="283"/>
      <c r="J2441" s="445"/>
      <c r="K2441" s="283"/>
      <c r="L2441" s="283"/>
      <c r="M2441" s="283"/>
      <c r="N2441" s="283"/>
      <c r="O2441" s="815"/>
      <c r="P2441" s="164"/>
      <c r="Q2441" s="93">
        <v>1000</v>
      </c>
      <c r="R2441" s="93">
        <v>1000</v>
      </c>
      <c r="S2441" s="927"/>
      <c r="T2441" s="927"/>
      <c r="U2441" s="927"/>
      <c r="X2441" s="16"/>
      <c r="Y2441" s="16"/>
    </row>
    <row r="2442" spans="1:25" s="42" customFormat="1" ht="30" customHeight="1">
      <c r="A2442" s="740"/>
      <c r="B2442" s="918" t="s">
        <v>1888</v>
      </c>
      <c r="C2442" s="649"/>
      <c r="D2442" s="444"/>
      <c r="E2442" s="784"/>
      <c r="H2442" s="283"/>
      <c r="I2442" s="283"/>
      <c r="J2442" s="445"/>
      <c r="K2442" s="283"/>
      <c r="L2442" s="283"/>
      <c r="M2442" s="283"/>
      <c r="N2442" s="283"/>
      <c r="O2442" s="815"/>
      <c r="P2442" s="164"/>
      <c r="Q2442" s="93">
        <v>1000</v>
      </c>
      <c r="R2442" s="93">
        <v>999</v>
      </c>
      <c r="S2442" s="1326" t="s">
        <v>4748</v>
      </c>
      <c r="T2442" s="1326"/>
      <c r="U2442" s="1326"/>
      <c r="X2442" s="16"/>
      <c r="Y2442" s="16"/>
    </row>
    <row r="2443" spans="1:25" s="42" customFormat="1" ht="15">
      <c r="A2443" s="740"/>
      <c r="B2443" s="918" t="s">
        <v>1842</v>
      </c>
      <c r="C2443" s="649"/>
      <c r="D2443" s="444"/>
      <c r="E2443" s="784"/>
      <c r="H2443" s="283"/>
      <c r="I2443" s="283"/>
      <c r="J2443" s="445"/>
      <c r="K2443" s="283"/>
      <c r="L2443" s="283"/>
      <c r="M2443" s="283"/>
      <c r="N2443" s="283"/>
      <c r="O2443" s="815"/>
      <c r="P2443" s="164"/>
      <c r="Q2443" s="351">
        <v>10000</v>
      </c>
      <c r="R2443" s="351">
        <v>10000</v>
      </c>
      <c r="S2443" s="933"/>
      <c r="T2443" s="933"/>
      <c r="U2443" s="933"/>
      <c r="X2443" s="16"/>
      <c r="Y2443" s="16"/>
    </row>
    <row r="2444" spans="1:25" s="42" customFormat="1" ht="15">
      <c r="A2444" s="740"/>
      <c r="B2444" s="446"/>
      <c r="C2444" s="649"/>
      <c r="D2444" s="444"/>
      <c r="E2444" s="647"/>
      <c r="H2444" s="283"/>
      <c r="I2444" s="283"/>
      <c r="J2444" s="445"/>
      <c r="K2444" s="283"/>
      <c r="L2444" s="283"/>
      <c r="M2444" s="283"/>
      <c r="N2444" s="283"/>
      <c r="O2444" s="815"/>
      <c r="P2444" s="164"/>
      <c r="Q2444" s="351"/>
      <c r="R2444" s="351"/>
      <c r="S2444" s="933"/>
      <c r="T2444" s="933"/>
      <c r="U2444" s="933"/>
      <c r="X2444" s="16"/>
      <c r="Y2444" s="16"/>
    </row>
    <row r="2445" spans="1:25" s="42" customFormat="1" ht="15">
      <c r="A2445" s="740"/>
      <c r="B2445" s="446" t="s">
        <v>1639</v>
      </c>
      <c r="C2445" s="649" t="s">
        <v>1890</v>
      </c>
      <c r="D2445" s="444">
        <v>40897</v>
      </c>
      <c r="E2445" s="647"/>
      <c r="F2445" s="42" t="s">
        <v>1889</v>
      </c>
      <c r="H2445" s="283"/>
      <c r="I2445" s="283"/>
      <c r="J2445" s="445"/>
      <c r="K2445" s="283">
        <v>1000</v>
      </c>
      <c r="L2445" s="283"/>
      <c r="M2445" s="283">
        <f t="shared" ref="M2445:M2449" si="362">SUM(K2445:L2445)</f>
        <v>1000</v>
      </c>
      <c r="N2445" s="283"/>
      <c r="O2445" s="815"/>
      <c r="P2445" s="108" t="s">
        <v>103</v>
      </c>
      <c r="Q2445" s="351">
        <v>1000</v>
      </c>
      <c r="R2445" s="351">
        <v>1000</v>
      </c>
      <c r="S2445" s="933"/>
      <c r="T2445" s="933"/>
      <c r="U2445" s="933"/>
      <c r="W2445" s="42" t="s">
        <v>930</v>
      </c>
      <c r="X2445" s="16">
        <f t="shared" ref="X2445:X2449" si="363">SUM(J2445:L2445)</f>
        <v>1000</v>
      </c>
      <c r="Y2445" s="16">
        <f>X2445-M2445</f>
        <v>0</v>
      </c>
    </row>
    <row r="2446" spans="1:25" s="42" customFormat="1" ht="15">
      <c r="A2446" s="740"/>
      <c r="B2446" s="446" t="s">
        <v>1639</v>
      </c>
      <c r="C2446" s="649" t="s">
        <v>1892</v>
      </c>
      <c r="D2446" s="444">
        <v>40897</v>
      </c>
      <c r="E2446" s="647"/>
      <c r="F2446" s="42" t="s">
        <v>1891</v>
      </c>
      <c r="H2446" s="283"/>
      <c r="I2446" s="283"/>
      <c r="J2446" s="445"/>
      <c r="K2446" s="283">
        <v>18000</v>
      </c>
      <c r="L2446" s="283"/>
      <c r="M2446" s="283">
        <f t="shared" si="362"/>
        <v>18000</v>
      </c>
      <c r="N2446" s="283"/>
      <c r="O2446" s="815"/>
      <c r="P2446" s="108" t="s">
        <v>103</v>
      </c>
      <c r="Q2446" s="351">
        <v>18000</v>
      </c>
      <c r="R2446" s="351">
        <v>18000</v>
      </c>
      <c r="S2446" s="933"/>
      <c r="T2446" s="933"/>
      <c r="U2446" s="933"/>
      <c r="W2446" s="42" t="s">
        <v>930</v>
      </c>
      <c r="X2446" s="16">
        <f t="shared" si="363"/>
        <v>18000</v>
      </c>
      <c r="Y2446" s="16">
        <f>X2446-M2446</f>
        <v>0</v>
      </c>
    </row>
    <row r="2447" spans="1:25" s="42" customFormat="1" ht="15">
      <c r="A2447" s="740"/>
      <c r="B2447" s="446" t="s">
        <v>1675</v>
      </c>
      <c r="C2447" s="649" t="s">
        <v>1894</v>
      </c>
      <c r="D2447" s="444">
        <v>40897</v>
      </c>
      <c r="E2447" s="647"/>
      <c r="F2447" s="42" t="s">
        <v>1893</v>
      </c>
      <c r="H2447" s="283"/>
      <c r="I2447" s="283"/>
      <c r="J2447" s="445"/>
      <c r="K2447" s="283">
        <v>10000</v>
      </c>
      <c r="L2447" s="283"/>
      <c r="M2447" s="283">
        <f t="shared" si="362"/>
        <v>10000</v>
      </c>
      <c r="N2447" s="283"/>
      <c r="O2447" s="815"/>
      <c r="P2447" s="108" t="s">
        <v>103</v>
      </c>
      <c r="Q2447" s="351">
        <v>10000</v>
      </c>
      <c r="R2447" s="351">
        <v>10000</v>
      </c>
      <c r="S2447" s="933"/>
      <c r="T2447" s="933"/>
      <c r="U2447" s="933"/>
      <c r="W2447" s="42" t="s">
        <v>930</v>
      </c>
      <c r="X2447" s="16">
        <f t="shared" si="363"/>
        <v>10000</v>
      </c>
      <c r="Y2447" s="16">
        <f>X2447-M2447</f>
        <v>0</v>
      </c>
    </row>
    <row r="2448" spans="1:25" s="42" customFormat="1" ht="15">
      <c r="A2448" s="740"/>
      <c r="B2448" s="446" t="s">
        <v>1628</v>
      </c>
      <c r="C2448" s="649" t="s">
        <v>1896</v>
      </c>
      <c r="D2448" s="444">
        <v>40897</v>
      </c>
      <c r="E2448" s="647"/>
      <c r="F2448" s="42" t="s">
        <v>1895</v>
      </c>
      <c r="H2448" s="283"/>
      <c r="I2448" s="283"/>
      <c r="J2448" s="445"/>
      <c r="K2448" s="283">
        <v>5000</v>
      </c>
      <c r="L2448" s="283"/>
      <c r="M2448" s="283">
        <f t="shared" si="362"/>
        <v>5000</v>
      </c>
      <c r="N2448" s="283"/>
      <c r="O2448" s="815"/>
      <c r="P2448" s="108" t="s">
        <v>103</v>
      </c>
      <c r="Q2448" s="351">
        <v>5000</v>
      </c>
      <c r="R2448" s="351">
        <v>5000</v>
      </c>
      <c r="S2448" s="933"/>
      <c r="T2448" s="933"/>
      <c r="U2448" s="933"/>
      <c r="W2448" s="42" t="s">
        <v>930</v>
      </c>
      <c r="X2448" s="16">
        <f t="shared" si="363"/>
        <v>5000</v>
      </c>
      <c r="Y2448" s="16">
        <f>X2448-M2448</f>
        <v>0</v>
      </c>
    </row>
    <row r="2449" spans="1:25" s="42" customFormat="1" ht="15">
      <c r="A2449" s="740"/>
      <c r="B2449" s="446" t="s">
        <v>1561</v>
      </c>
      <c r="C2449" s="649" t="s">
        <v>1897</v>
      </c>
      <c r="D2449" s="444">
        <v>40897</v>
      </c>
      <c r="E2449" s="647"/>
      <c r="F2449" s="42" t="s">
        <v>315</v>
      </c>
      <c r="H2449" s="283"/>
      <c r="I2449" s="283"/>
      <c r="J2449" s="445"/>
      <c r="K2449" s="283">
        <v>30000</v>
      </c>
      <c r="L2449" s="283"/>
      <c r="M2449" s="283">
        <f t="shared" si="362"/>
        <v>30000</v>
      </c>
      <c r="N2449" s="283"/>
      <c r="O2449" s="815"/>
      <c r="P2449" s="108" t="s">
        <v>103</v>
      </c>
      <c r="Q2449" s="522">
        <f>SUM(Q2450:Q2451)</f>
        <v>30000</v>
      </c>
      <c r="R2449" s="522">
        <f>SUM(R2450:R2451)</f>
        <v>30000</v>
      </c>
      <c r="S2449" s="933"/>
      <c r="T2449" s="933"/>
      <c r="U2449" s="933"/>
      <c r="W2449" s="42" t="s">
        <v>930</v>
      </c>
      <c r="X2449" s="16">
        <f t="shared" si="363"/>
        <v>30000</v>
      </c>
      <c r="Y2449" s="16">
        <f>X2449-M2449</f>
        <v>0</v>
      </c>
    </row>
    <row r="2450" spans="1:25" s="42" customFormat="1" ht="18.75" customHeight="1">
      <c r="A2450" s="740"/>
      <c r="B2450" s="446"/>
      <c r="C2450" s="649"/>
      <c r="D2450" s="444"/>
      <c r="E2450" s="647"/>
      <c r="H2450" s="283"/>
      <c r="I2450" s="283"/>
      <c r="J2450" s="445"/>
      <c r="K2450" s="283"/>
      <c r="L2450" s="283"/>
      <c r="M2450" s="283"/>
      <c r="N2450" s="283"/>
      <c r="O2450" s="815"/>
      <c r="P2450" s="164"/>
      <c r="Q2450" s="93">
        <v>20000</v>
      </c>
      <c r="R2450" s="93">
        <v>20000</v>
      </c>
      <c r="S2450" s="899" t="s">
        <v>1898</v>
      </c>
      <c r="T2450" s="933"/>
      <c r="U2450" s="933"/>
      <c r="X2450" s="16"/>
      <c r="Y2450" s="16"/>
    </row>
    <row r="2451" spans="1:25" s="42" customFormat="1" ht="15">
      <c r="A2451" s="740"/>
      <c r="B2451" s="446"/>
      <c r="C2451" s="649"/>
      <c r="D2451" s="444"/>
      <c r="E2451" s="647"/>
      <c r="H2451" s="283"/>
      <c r="I2451" s="283"/>
      <c r="J2451" s="445"/>
      <c r="K2451" s="283"/>
      <c r="L2451" s="283"/>
      <c r="M2451" s="283"/>
      <c r="N2451" s="283"/>
      <c r="O2451" s="815"/>
      <c r="P2451" s="164"/>
      <c r="Q2451" s="351">
        <v>10000</v>
      </c>
      <c r="R2451" s="351">
        <v>10000</v>
      </c>
      <c r="S2451" s="1364" t="s">
        <v>1899</v>
      </c>
      <c r="T2451" s="1364"/>
      <c r="U2451" s="1364"/>
      <c r="X2451" s="16"/>
      <c r="Y2451" s="16"/>
    </row>
    <row r="2452" spans="1:25" s="42" customFormat="1" ht="15">
      <c r="A2452" s="740"/>
      <c r="B2452" s="446"/>
      <c r="C2452" s="649"/>
      <c r="D2452" s="444"/>
      <c r="E2452" s="647"/>
      <c r="H2452" s="283"/>
      <c r="I2452" s="283"/>
      <c r="J2452" s="445"/>
      <c r="K2452" s="283"/>
      <c r="L2452" s="283"/>
      <c r="M2452" s="283"/>
      <c r="N2452" s="283"/>
      <c r="O2452" s="815"/>
      <c r="P2452" s="164"/>
      <c r="Q2452" s="351"/>
      <c r="R2452" s="351"/>
      <c r="S2452" s="1120"/>
      <c r="T2452" s="1120"/>
      <c r="U2452" s="1120"/>
      <c r="X2452" s="16"/>
      <c r="Y2452" s="16"/>
    </row>
    <row r="2453" spans="1:25" s="42" customFormat="1" ht="31.5" customHeight="1">
      <c r="A2453" s="740"/>
      <c r="B2453" s="101" t="s">
        <v>1594</v>
      </c>
      <c r="C2453" s="647" t="s">
        <v>1900</v>
      </c>
      <c r="D2453" s="527">
        <v>40897</v>
      </c>
      <c r="E2453" s="647"/>
      <c r="F2453" s="909" t="s">
        <v>5821</v>
      </c>
      <c r="H2453" s="283"/>
      <c r="I2453" s="283"/>
      <c r="J2453" s="445"/>
      <c r="K2453" s="283">
        <v>5000</v>
      </c>
      <c r="L2453" s="283"/>
      <c r="M2453" s="21">
        <f t="shared" ref="M2453:M2454" si="364">SUM(K2453:L2453)</f>
        <v>5000</v>
      </c>
      <c r="N2453" s="283"/>
      <c r="O2453" s="815"/>
      <c r="P2453" s="108" t="s">
        <v>103</v>
      </c>
      <c r="Q2453" s="93">
        <v>5000</v>
      </c>
      <c r="R2453" s="93">
        <v>5000</v>
      </c>
      <c r="S2453" s="1323" t="s">
        <v>1901</v>
      </c>
      <c r="T2453" s="1323"/>
      <c r="U2453" s="1323"/>
      <c r="V2453" s="525"/>
      <c r="W2453" s="525" t="s">
        <v>930</v>
      </c>
      <c r="X2453" s="16">
        <f t="shared" ref="X2453:X2454" si="365">SUM(J2453:L2453)</f>
        <v>5000</v>
      </c>
      <c r="Y2453" s="16">
        <f>X2453-M2453</f>
        <v>0</v>
      </c>
    </row>
    <row r="2454" spans="1:25" s="42" customFormat="1" ht="15">
      <c r="A2454" s="740"/>
      <c r="B2454" s="446" t="s">
        <v>1616</v>
      </c>
      <c r="C2454" s="649" t="s">
        <v>1902</v>
      </c>
      <c r="D2454" s="444">
        <v>40897</v>
      </c>
      <c r="E2454" s="647"/>
      <c r="F2454" s="42" t="s">
        <v>315</v>
      </c>
      <c r="H2454" s="283"/>
      <c r="I2454" s="283"/>
      <c r="J2454" s="445"/>
      <c r="K2454" s="283">
        <v>55000</v>
      </c>
      <c r="L2454" s="283"/>
      <c r="M2454" s="283">
        <f t="shared" si="364"/>
        <v>55000</v>
      </c>
      <c r="N2454" s="283"/>
      <c r="O2454" s="815"/>
      <c r="P2454" s="108" t="s">
        <v>103</v>
      </c>
      <c r="Q2454" s="522">
        <f>SUM(Q2455:Q2458)</f>
        <v>55000</v>
      </c>
      <c r="R2454" s="522">
        <f>SUM(R2455:R2458)</f>
        <v>55000</v>
      </c>
      <c r="S2454" s="933"/>
      <c r="T2454" s="933"/>
      <c r="U2454" s="933"/>
      <c r="W2454" s="42" t="s">
        <v>930</v>
      </c>
      <c r="X2454" s="16">
        <f t="shared" si="365"/>
        <v>55000</v>
      </c>
      <c r="Y2454" s="16">
        <f>X2454-M2454</f>
        <v>0</v>
      </c>
    </row>
    <row r="2455" spans="1:25" s="42" customFormat="1" ht="15">
      <c r="A2455" s="740"/>
      <c r="B2455" s="918" t="s">
        <v>1842</v>
      </c>
      <c r="C2455" s="649"/>
      <c r="D2455" s="444"/>
      <c r="E2455" s="784"/>
      <c r="H2455" s="283"/>
      <c r="I2455" s="283"/>
      <c r="J2455" s="445"/>
      <c r="K2455" s="283"/>
      <c r="L2455" s="283"/>
      <c r="M2455" s="283"/>
      <c r="N2455" s="283"/>
      <c r="O2455" s="815"/>
      <c r="P2455" s="164"/>
      <c r="Q2455" s="351">
        <v>16000</v>
      </c>
      <c r="R2455" s="351">
        <v>16000</v>
      </c>
      <c r="S2455" s="933"/>
      <c r="T2455" s="933"/>
      <c r="U2455" s="933"/>
      <c r="X2455" s="16"/>
      <c r="Y2455" s="16"/>
    </row>
    <row r="2456" spans="1:25" s="42" customFormat="1" ht="15">
      <c r="A2456" s="740"/>
      <c r="B2456" s="918" t="s">
        <v>1840</v>
      </c>
      <c r="C2456" s="649"/>
      <c r="D2456" s="444"/>
      <c r="E2456" s="784"/>
      <c r="H2456" s="283"/>
      <c r="I2456" s="283"/>
      <c r="J2456" s="445"/>
      <c r="K2456" s="283"/>
      <c r="L2456" s="283"/>
      <c r="M2456" s="283"/>
      <c r="N2456" s="283"/>
      <c r="O2456" s="815"/>
      <c r="P2456" s="164"/>
      <c r="Q2456" s="351">
        <v>12000</v>
      </c>
      <c r="R2456" s="351">
        <v>12000</v>
      </c>
      <c r="S2456" s="933"/>
      <c r="T2456" s="933"/>
      <c r="U2456" s="933"/>
      <c r="X2456" s="16"/>
      <c r="Y2456" s="16"/>
    </row>
    <row r="2457" spans="1:25" s="42" customFormat="1" ht="20.25" customHeight="1">
      <c r="A2457" s="740"/>
      <c r="B2457" s="918" t="s">
        <v>1841</v>
      </c>
      <c r="C2457" s="649"/>
      <c r="D2457" s="444"/>
      <c r="E2457" s="784"/>
      <c r="H2457" s="283"/>
      <c r="I2457" s="283"/>
      <c r="J2457" s="445"/>
      <c r="K2457" s="283"/>
      <c r="L2457" s="283"/>
      <c r="M2457" s="283"/>
      <c r="N2457" s="283"/>
      <c r="O2457" s="815"/>
      <c r="P2457" s="164"/>
      <c r="Q2457" s="93">
        <v>14000</v>
      </c>
      <c r="R2457" s="93">
        <v>14000</v>
      </c>
      <c r="S2457" s="1326" t="s">
        <v>4749</v>
      </c>
      <c r="T2457" s="1326"/>
      <c r="U2457" s="1326"/>
      <c r="V2457" s="525"/>
      <c r="W2457" s="525"/>
      <c r="X2457" s="16"/>
      <c r="Y2457" s="16"/>
    </row>
    <row r="2458" spans="1:25" s="42" customFormat="1" ht="15">
      <c r="A2458" s="740"/>
      <c r="B2458" s="918" t="s">
        <v>1903</v>
      </c>
      <c r="C2458" s="649"/>
      <c r="D2458" s="444"/>
      <c r="E2458" s="784"/>
      <c r="H2458" s="283"/>
      <c r="I2458" s="283"/>
      <c r="J2458" s="445"/>
      <c r="K2458" s="283"/>
      <c r="L2458" s="283"/>
      <c r="M2458" s="283"/>
      <c r="N2458" s="283"/>
      <c r="O2458" s="815"/>
      <c r="P2458" s="164"/>
      <c r="Q2458" s="351">
        <v>13000</v>
      </c>
      <c r="R2458" s="351">
        <v>13000</v>
      </c>
      <c r="S2458" s="933"/>
      <c r="T2458" s="933"/>
      <c r="U2458" s="933"/>
      <c r="X2458" s="16"/>
      <c r="Y2458" s="16"/>
    </row>
    <row r="2459" spans="1:25" s="42" customFormat="1" ht="15">
      <c r="A2459" s="740"/>
      <c r="B2459" s="446"/>
      <c r="C2459" s="649"/>
      <c r="D2459" s="444"/>
      <c r="E2459" s="647"/>
      <c r="H2459" s="283"/>
      <c r="I2459" s="283"/>
      <c r="J2459" s="445"/>
      <c r="K2459" s="283"/>
      <c r="L2459" s="283"/>
      <c r="M2459" s="283"/>
      <c r="N2459" s="283"/>
      <c r="O2459" s="815"/>
      <c r="P2459" s="164"/>
      <c r="Q2459" s="351"/>
      <c r="R2459" s="351"/>
      <c r="S2459" s="933"/>
      <c r="T2459" s="933"/>
      <c r="U2459" s="933"/>
      <c r="X2459" s="16"/>
      <c r="Y2459" s="16"/>
    </row>
    <row r="2460" spans="1:25" s="42" customFormat="1" ht="15">
      <c r="A2460" s="740"/>
      <c r="B2460" s="446" t="s">
        <v>1642</v>
      </c>
      <c r="C2460" s="649" t="s">
        <v>1905</v>
      </c>
      <c r="D2460" s="444">
        <v>40897</v>
      </c>
      <c r="E2460" s="647"/>
      <c r="F2460" s="42" t="s">
        <v>1904</v>
      </c>
      <c r="H2460" s="283"/>
      <c r="I2460" s="283"/>
      <c r="J2460" s="445"/>
      <c r="K2460" s="283">
        <v>5000</v>
      </c>
      <c r="L2460" s="283"/>
      <c r="M2460" s="283">
        <f t="shared" ref="M2460:M2466" si="366">SUM(K2460:L2460)</f>
        <v>5000</v>
      </c>
      <c r="N2460" s="283"/>
      <c r="O2460" s="815"/>
      <c r="P2460" s="108" t="s">
        <v>103</v>
      </c>
      <c r="Q2460" s="351">
        <v>5000</v>
      </c>
      <c r="R2460" s="351">
        <v>5000</v>
      </c>
      <c r="S2460" s="933"/>
      <c r="T2460" s="933"/>
      <c r="U2460" s="933"/>
      <c r="W2460" s="42" t="s">
        <v>930</v>
      </c>
      <c r="X2460" s="16">
        <f t="shared" ref="X2460:X2466" si="367">SUM(J2460:L2460)</f>
        <v>5000</v>
      </c>
      <c r="Y2460" s="16">
        <f>X2460-M2460</f>
        <v>0</v>
      </c>
    </row>
    <row r="2461" spans="1:25" s="42" customFormat="1" ht="15">
      <c r="A2461" s="740"/>
      <c r="B2461" s="446" t="s">
        <v>1591</v>
      </c>
      <c r="C2461" s="649" t="s">
        <v>1906</v>
      </c>
      <c r="D2461" s="531">
        <v>40897</v>
      </c>
      <c r="E2461" s="647"/>
      <c r="F2461" s="42" t="s">
        <v>315</v>
      </c>
      <c r="H2461" s="283"/>
      <c r="I2461" s="283"/>
      <c r="J2461" s="532"/>
      <c r="K2461" s="283">
        <v>10000</v>
      </c>
      <c r="L2461" s="283"/>
      <c r="M2461" s="283">
        <f t="shared" si="366"/>
        <v>10000</v>
      </c>
      <c r="N2461" s="283"/>
      <c r="O2461" s="815"/>
      <c r="P2461" s="108" t="s">
        <v>103</v>
      </c>
      <c r="Q2461" s="522">
        <f>SUM(Q2462:Q2465)</f>
        <v>10000</v>
      </c>
      <c r="R2461" s="522">
        <f>SUM(R2462:R2465)</f>
        <v>7494</v>
      </c>
      <c r="S2461" s="933"/>
      <c r="T2461" s="933"/>
      <c r="U2461" s="933"/>
      <c r="W2461" s="42" t="s">
        <v>930</v>
      </c>
      <c r="X2461" s="16">
        <f t="shared" si="367"/>
        <v>10000</v>
      </c>
      <c r="Y2461" s="16">
        <f>X2461-M2461</f>
        <v>0</v>
      </c>
    </row>
    <row r="2462" spans="1:25" s="42" customFormat="1" ht="45">
      <c r="A2462" s="740"/>
      <c r="B2462" s="42" t="s">
        <v>6347</v>
      </c>
      <c r="C2462" s="649"/>
      <c r="D2462" s="531"/>
      <c r="E2462" s="647"/>
      <c r="H2462" s="283"/>
      <c r="I2462" s="283"/>
      <c r="J2462" s="532"/>
      <c r="K2462" s="283"/>
      <c r="L2462" s="283"/>
      <c r="M2462" s="283"/>
      <c r="N2462" s="283"/>
      <c r="O2462" s="815"/>
      <c r="P2462" s="108"/>
      <c r="Q2462" s="351">
        <v>3000</v>
      </c>
      <c r="R2462" s="351">
        <v>2998</v>
      </c>
      <c r="S2462" s="933" t="s">
        <v>6351</v>
      </c>
      <c r="T2462" s="933"/>
      <c r="U2462" s="933"/>
      <c r="X2462" s="16"/>
      <c r="Y2462" s="16"/>
    </row>
    <row r="2463" spans="1:25" s="42" customFormat="1" ht="15">
      <c r="A2463" s="740"/>
      <c r="B2463" s="1085" t="s">
        <v>6348</v>
      </c>
      <c r="C2463" s="649"/>
      <c r="D2463" s="531"/>
      <c r="E2463" s="647"/>
      <c r="H2463" s="283"/>
      <c r="I2463" s="283"/>
      <c r="J2463" s="532"/>
      <c r="K2463" s="283"/>
      <c r="L2463" s="283"/>
      <c r="M2463" s="283"/>
      <c r="N2463" s="283"/>
      <c r="O2463" s="815"/>
      <c r="P2463" s="108"/>
      <c r="Q2463" s="351">
        <v>2500</v>
      </c>
      <c r="R2463" s="351"/>
      <c r="S2463" s="933"/>
      <c r="T2463" s="933"/>
      <c r="U2463" s="933"/>
      <c r="X2463" s="16"/>
      <c r="Y2463" s="16"/>
    </row>
    <row r="2464" spans="1:25" s="42" customFormat="1" ht="15">
      <c r="A2464" s="740"/>
      <c r="B2464" s="1085" t="s">
        <v>6349</v>
      </c>
      <c r="C2464" s="649"/>
      <c r="D2464" s="531"/>
      <c r="E2464" s="647"/>
      <c r="H2464" s="283"/>
      <c r="I2464" s="283"/>
      <c r="J2464" s="532"/>
      <c r="K2464" s="283"/>
      <c r="L2464" s="283"/>
      <c r="M2464" s="283"/>
      <c r="N2464" s="283"/>
      <c r="O2464" s="815"/>
      <c r="P2464" s="108"/>
      <c r="Q2464" s="351">
        <v>2000</v>
      </c>
      <c r="R2464" s="351">
        <v>1996</v>
      </c>
      <c r="S2464" s="933"/>
      <c r="T2464" s="933"/>
      <c r="U2464" s="933"/>
      <c r="X2464" s="16"/>
      <c r="Y2464" s="16"/>
    </row>
    <row r="2465" spans="1:25" s="42" customFormat="1" ht="15">
      <c r="A2465" s="740"/>
      <c r="B2465" s="1085" t="s">
        <v>6350</v>
      </c>
      <c r="C2465" s="649"/>
      <c r="D2465" s="531"/>
      <c r="E2465" s="647"/>
      <c r="H2465" s="283"/>
      <c r="I2465" s="283"/>
      <c r="J2465" s="532"/>
      <c r="K2465" s="283"/>
      <c r="L2465" s="283"/>
      <c r="M2465" s="283"/>
      <c r="N2465" s="283"/>
      <c r="O2465" s="815"/>
      <c r="P2465" s="108"/>
      <c r="Q2465" s="351">
        <v>2500</v>
      </c>
      <c r="R2465" s="351">
        <v>2500</v>
      </c>
      <c r="S2465" s="933" t="s">
        <v>6352</v>
      </c>
      <c r="T2465" s="933"/>
      <c r="U2465" s="933"/>
      <c r="X2465" s="16"/>
      <c r="Y2465" s="16"/>
    </row>
    <row r="2466" spans="1:25" s="42" customFormat="1" ht="15">
      <c r="A2466" s="740"/>
      <c r="B2466" s="446" t="s">
        <v>1687</v>
      </c>
      <c r="C2466" s="649" t="s">
        <v>1907</v>
      </c>
      <c r="D2466" s="531">
        <v>40897</v>
      </c>
      <c r="E2466" s="647"/>
      <c r="F2466" s="42" t="s">
        <v>315</v>
      </c>
      <c r="H2466" s="283"/>
      <c r="I2466" s="283"/>
      <c r="J2466" s="532"/>
      <c r="K2466" s="283">
        <v>400</v>
      </c>
      <c r="L2466" s="283"/>
      <c r="M2466" s="283">
        <f t="shared" si="366"/>
        <v>400</v>
      </c>
      <c r="N2466" s="283"/>
      <c r="O2466" s="815"/>
      <c r="P2466" s="108" t="s">
        <v>103</v>
      </c>
      <c r="Q2466" s="522">
        <f>SUM(Q2467:Q2468)</f>
        <v>400</v>
      </c>
      <c r="R2466" s="522">
        <f>SUM(R2467:R2468)</f>
        <v>400</v>
      </c>
      <c r="S2466" s="933"/>
      <c r="T2466" s="933"/>
      <c r="U2466" s="933"/>
      <c r="W2466" s="42" t="s">
        <v>930</v>
      </c>
      <c r="X2466" s="16">
        <f t="shared" si="367"/>
        <v>400</v>
      </c>
      <c r="Y2466" s="16">
        <f>X2466-M2466</f>
        <v>0</v>
      </c>
    </row>
    <row r="2467" spans="1:25" s="42" customFormat="1" ht="30">
      <c r="A2467" s="740"/>
      <c r="B2467" s="530" t="s">
        <v>1908</v>
      </c>
      <c r="C2467" s="649"/>
      <c r="D2467" s="531"/>
      <c r="E2467" s="329"/>
      <c r="H2467" s="283"/>
      <c r="I2467" s="283"/>
      <c r="J2467" s="532"/>
      <c r="K2467" s="283"/>
      <c r="L2467" s="283"/>
      <c r="M2467" s="283"/>
      <c r="N2467" s="283"/>
      <c r="O2467" s="815"/>
      <c r="P2467" s="164"/>
      <c r="Q2467" s="529">
        <v>200</v>
      </c>
      <c r="R2467" s="529">
        <v>200</v>
      </c>
      <c r="S2467" s="1076" t="s">
        <v>6241</v>
      </c>
      <c r="T2467" s="933"/>
      <c r="U2467" s="933"/>
      <c r="X2467" s="16"/>
      <c r="Y2467" s="16"/>
    </row>
    <row r="2468" spans="1:25" s="42" customFormat="1" ht="30">
      <c r="A2468" s="740"/>
      <c r="B2468" s="530" t="s">
        <v>1909</v>
      </c>
      <c r="C2468" s="649"/>
      <c r="D2468" s="531"/>
      <c r="E2468" s="329"/>
      <c r="H2468" s="283"/>
      <c r="I2468" s="283"/>
      <c r="J2468" s="532"/>
      <c r="K2468" s="283"/>
      <c r="L2468" s="283"/>
      <c r="M2468" s="283"/>
      <c r="N2468" s="283"/>
      <c r="O2468" s="815"/>
      <c r="P2468" s="164"/>
      <c r="Q2468" s="529">
        <v>200</v>
      </c>
      <c r="R2468" s="529">
        <v>200</v>
      </c>
      <c r="S2468" s="1076" t="s">
        <v>6242</v>
      </c>
      <c r="T2468" s="933"/>
      <c r="U2468" s="933"/>
      <c r="X2468" s="16"/>
      <c r="Y2468" s="16"/>
    </row>
    <row r="2469" spans="1:25" s="42" customFormat="1" ht="15">
      <c r="A2469" s="740"/>
      <c r="B2469" s="446"/>
      <c r="C2469" s="649"/>
      <c r="D2469" s="531"/>
      <c r="E2469" s="647"/>
      <c r="H2469" s="283"/>
      <c r="I2469" s="283"/>
      <c r="J2469" s="532"/>
      <c r="K2469" s="283"/>
      <c r="L2469" s="283"/>
      <c r="M2469" s="283"/>
      <c r="N2469" s="283"/>
      <c r="O2469" s="815"/>
      <c r="P2469" s="164"/>
      <c r="Q2469" s="351"/>
      <c r="R2469" s="351"/>
      <c r="S2469" s="933"/>
      <c r="T2469" s="933"/>
      <c r="U2469" s="933"/>
      <c r="X2469" s="16"/>
      <c r="Y2469" s="16"/>
    </row>
    <row r="2470" spans="1:25" s="42" customFormat="1" ht="15">
      <c r="A2470" s="740"/>
      <c r="B2470" s="446" t="s">
        <v>1591</v>
      </c>
      <c r="C2470" s="649" t="s">
        <v>1911</v>
      </c>
      <c r="D2470" s="444">
        <v>40899</v>
      </c>
      <c r="E2470" s="647"/>
      <c r="F2470" s="42" t="s">
        <v>1910</v>
      </c>
      <c r="H2470" s="283"/>
      <c r="I2470" s="283"/>
      <c r="J2470" s="445"/>
      <c r="K2470" s="283">
        <v>2500</v>
      </c>
      <c r="L2470" s="283"/>
      <c r="M2470" s="283">
        <f t="shared" ref="M2470" si="368">SUM(K2470:L2470)</f>
        <v>2500</v>
      </c>
      <c r="N2470" s="283"/>
      <c r="O2470" s="815"/>
      <c r="P2470" s="108" t="s">
        <v>103</v>
      </c>
      <c r="Q2470" s="351">
        <v>2500</v>
      </c>
      <c r="R2470" s="351">
        <v>2500</v>
      </c>
      <c r="S2470" s="933"/>
      <c r="T2470" s="933"/>
      <c r="U2470" s="933"/>
      <c r="W2470" s="42" t="s">
        <v>930</v>
      </c>
      <c r="X2470" s="16">
        <f t="shared" ref="X2470" si="369">SUM(J2470:L2470)</f>
        <v>2500</v>
      </c>
      <c r="Y2470" s="16">
        <f>X2470-M2470</f>
        <v>0</v>
      </c>
    </row>
    <row r="2471" spans="1:25" s="39" customFormat="1" ht="15.95" customHeight="1">
      <c r="B2471" s="21"/>
      <c r="C2471" s="23"/>
      <c r="D2471" s="380"/>
      <c r="E2471" s="23"/>
      <c r="F2471" s="22"/>
      <c r="G2471" s="22"/>
      <c r="H2471" s="22"/>
      <c r="I2471" s="22"/>
      <c r="J2471" s="22"/>
      <c r="K2471" s="22"/>
      <c r="L2471" s="22"/>
      <c r="M2471" s="22"/>
      <c r="N2471" s="22"/>
      <c r="O2471" s="23"/>
      <c r="P2471" s="165"/>
      <c r="Q2471" s="216"/>
      <c r="R2471" s="216"/>
      <c r="S2471" s="877"/>
      <c r="T2471" s="877"/>
      <c r="U2471" s="877"/>
      <c r="V2471" s="22"/>
      <c r="X2471" s="16"/>
      <c r="Y2471" s="16"/>
    </row>
    <row r="2472" spans="1:25" s="42" customFormat="1" ht="19.5" customHeight="1">
      <c r="A2472" s="740"/>
      <c r="B2472" s="101" t="s">
        <v>1561</v>
      </c>
      <c r="C2472" s="647" t="s">
        <v>1913</v>
      </c>
      <c r="D2472" s="527">
        <v>40899</v>
      </c>
      <c r="E2472" s="647"/>
      <c r="F2472" s="525" t="s">
        <v>1912</v>
      </c>
      <c r="G2472" s="525"/>
      <c r="H2472" s="21"/>
      <c r="I2472" s="21"/>
      <c r="J2472" s="528"/>
      <c r="K2472" s="21">
        <v>3000</v>
      </c>
      <c r="L2472" s="21"/>
      <c r="M2472" s="21">
        <f t="shared" ref="M2472" si="370">SUM(K2472:L2472)</f>
        <v>3000</v>
      </c>
      <c r="N2472" s="21"/>
      <c r="O2472" s="58"/>
      <c r="P2472" s="108" t="s">
        <v>103</v>
      </c>
      <c r="Q2472" s="93">
        <v>3000</v>
      </c>
      <c r="R2472" s="93">
        <v>3000</v>
      </c>
      <c r="S2472" s="1324" t="s">
        <v>6006</v>
      </c>
      <c r="T2472" s="1324"/>
      <c r="U2472" s="1324"/>
      <c r="W2472" s="525" t="s">
        <v>930</v>
      </c>
      <c r="X2472" s="16">
        <f t="shared" ref="X2472" si="371">SUM(J2472:L2472)</f>
        <v>3000</v>
      </c>
      <c r="Y2472" s="16">
        <f>X2472-M2472</f>
        <v>0</v>
      </c>
    </row>
    <row r="2473" spans="1:25" s="42" customFormat="1" ht="15">
      <c r="A2473" s="740"/>
      <c r="B2473" s="446"/>
      <c r="C2473" s="649"/>
      <c r="D2473" s="444"/>
      <c r="E2473" s="647"/>
      <c r="H2473" s="283"/>
      <c r="I2473" s="283"/>
      <c r="J2473" s="445"/>
      <c r="K2473" s="283"/>
      <c r="L2473" s="283"/>
      <c r="M2473" s="283"/>
      <c r="N2473" s="283"/>
      <c r="O2473" s="815"/>
      <c r="P2473" s="108"/>
      <c r="Q2473" s="351"/>
      <c r="R2473" s="351"/>
      <c r="S2473" s="877"/>
      <c r="T2473" s="933"/>
      <c r="U2473" s="933"/>
      <c r="X2473" s="16"/>
      <c r="Y2473" s="16"/>
    </row>
    <row r="2474" spans="1:25" s="42" customFormat="1" ht="15">
      <c r="A2474" s="740"/>
      <c r="B2474" s="446" t="s">
        <v>1607</v>
      </c>
      <c r="C2474" s="649" t="s">
        <v>1914</v>
      </c>
      <c r="D2474" s="444">
        <v>40899</v>
      </c>
      <c r="E2474" s="647"/>
      <c r="F2474" s="42" t="s">
        <v>315</v>
      </c>
      <c r="H2474" s="283"/>
      <c r="I2474" s="283"/>
      <c r="J2474" s="445"/>
      <c r="K2474" s="283">
        <v>15000</v>
      </c>
      <c r="L2474" s="283"/>
      <c r="M2474" s="283">
        <f t="shared" ref="M2474:M2479" si="372">SUM(K2474:L2474)</f>
        <v>15000</v>
      </c>
      <c r="N2474" s="283"/>
      <c r="O2474" s="815"/>
      <c r="P2474" s="108" t="s">
        <v>103</v>
      </c>
      <c r="Q2474" s="522">
        <f>SUM(Q2475:Q2477)</f>
        <v>15000</v>
      </c>
      <c r="R2474" s="522">
        <f>SUM(R2475:R2477)</f>
        <v>14948</v>
      </c>
      <c r="S2474" s="933"/>
      <c r="T2474" s="933"/>
      <c r="U2474" s="933"/>
      <c r="W2474" s="42" t="s">
        <v>930</v>
      </c>
      <c r="X2474" s="16">
        <f t="shared" ref="X2474:X2479" si="373">SUM(J2474:L2474)</f>
        <v>15000</v>
      </c>
      <c r="Y2474" s="16">
        <f>X2474-M2474</f>
        <v>0</v>
      </c>
    </row>
    <row r="2475" spans="1:25" s="42" customFormat="1" ht="15">
      <c r="A2475" s="740"/>
      <c r="B2475" s="42" t="s">
        <v>5678</v>
      </c>
      <c r="C2475" s="649"/>
      <c r="D2475" s="444"/>
      <c r="E2475" s="647"/>
      <c r="H2475" s="283"/>
      <c r="I2475" s="283"/>
      <c r="J2475" s="445"/>
      <c r="K2475" s="807"/>
      <c r="L2475" s="283"/>
      <c r="M2475" s="283">
        <f t="shared" si="372"/>
        <v>0</v>
      </c>
      <c r="N2475" s="283"/>
      <c r="O2475" s="815"/>
      <c r="P2475" s="108"/>
      <c r="Q2475" s="351">
        <v>5000</v>
      </c>
      <c r="R2475" s="351">
        <v>4975</v>
      </c>
      <c r="S2475" s="933"/>
      <c r="T2475" s="933"/>
      <c r="U2475" s="933"/>
      <c r="X2475" s="16"/>
      <c r="Y2475" s="16"/>
    </row>
    <row r="2476" spans="1:25" s="42" customFormat="1" ht="15">
      <c r="A2476" s="740"/>
      <c r="B2476" s="42" t="s">
        <v>5679</v>
      </c>
      <c r="C2476" s="649"/>
      <c r="D2476" s="444"/>
      <c r="E2476" s="647"/>
      <c r="H2476" s="283"/>
      <c r="I2476" s="283"/>
      <c r="J2476" s="445"/>
      <c r="K2476" s="807"/>
      <c r="L2476" s="283"/>
      <c r="M2476" s="283">
        <f t="shared" si="372"/>
        <v>0</v>
      </c>
      <c r="N2476" s="283"/>
      <c r="O2476" s="815"/>
      <c r="P2476" s="108"/>
      <c r="Q2476" s="351">
        <v>5000</v>
      </c>
      <c r="R2476" s="351">
        <v>4973</v>
      </c>
      <c r="S2476" s="933"/>
      <c r="T2476" s="933"/>
      <c r="U2476" s="933"/>
      <c r="X2476" s="16"/>
      <c r="Y2476" s="16"/>
    </row>
    <row r="2477" spans="1:25" s="42" customFormat="1" ht="15">
      <c r="A2477" s="740"/>
      <c r="B2477" s="42" t="s">
        <v>5680</v>
      </c>
      <c r="C2477" s="649"/>
      <c r="D2477" s="444"/>
      <c r="E2477" s="647"/>
      <c r="H2477" s="283"/>
      <c r="I2477" s="283"/>
      <c r="J2477" s="445"/>
      <c r="K2477" s="351"/>
      <c r="L2477" s="283"/>
      <c r="M2477" s="283">
        <f t="shared" si="372"/>
        <v>0</v>
      </c>
      <c r="N2477" s="283"/>
      <c r="O2477" s="815"/>
      <c r="P2477" s="108"/>
      <c r="Q2477" s="351">
        <v>5000</v>
      </c>
      <c r="R2477" s="351">
        <v>5000</v>
      </c>
      <c r="S2477" s="933"/>
      <c r="T2477" s="933"/>
      <c r="U2477" s="933"/>
      <c r="X2477" s="16"/>
      <c r="Y2477" s="16"/>
    </row>
    <row r="2478" spans="1:25" s="42" customFormat="1" ht="45.75" customHeight="1">
      <c r="A2478" s="740"/>
      <c r="B2478" s="101" t="s">
        <v>1594</v>
      </c>
      <c r="C2478" s="647" t="s">
        <v>1916</v>
      </c>
      <c r="D2478" s="527">
        <v>40899</v>
      </c>
      <c r="E2478" s="647"/>
      <c r="F2478" s="525" t="s">
        <v>1915</v>
      </c>
      <c r="G2478" s="525"/>
      <c r="H2478" s="21"/>
      <c r="I2478" s="21"/>
      <c r="J2478" s="528"/>
      <c r="K2478" s="21">
        <v>12000</v>
      </c>
      <c r="L2478" s="21"/>
      <c r="M2478" s="21">
        <f t="shared" si="372"/>
        <v>12000</v>
      </c>
      <c r="N2478" s="21"/>
      <c r="O2478" s="58"/>
      <c r="P2478" s="108" t="s">
        <v>103</v>
      </c>
      <c r="Q2478" s="93">
        <v>12000</v>
      </c>
      <c r="R2478" s="93">
        <v>12000</v>
      </c>
      <c r="S2478" s="1323" t="s">
        <v>1917</v>
      </c>
      <c r="T2478" s="1323"/>
      <c r="U2478" s="1323"/>
      <c r="W2478" s="525" t="s">
        <v>930</v>
      </c>
      <c r="X2478" s="16">
        <f t="shared" si="373"/>
        <v>12000</v>
      </c>
      <c r="Y2478" s="16">
        <f>X2478-M2478</f>
        <v>0</v>
      </c>
    </row>
    <row r="2479" spans="1:25" s="42" customFormat="1" ht="15">
      <c r="A2479" s="740"/>
      <c r="B2479" s="446" t="s">
        <v>1561</v>
      </c>
      <c r="C2479" s="649" t="s">
        <v>1918</v>
      </c>
      <c r="D2479" s="444">
        <v>40899</v>
      </c>
      <c r="E2479" s="647"/>
      <c r="F2479" s="42" t="s">
        <v>315</v>
      </c>
      <c r="H2479" s="283"/>
      <c r="I2479" s="283"/>
      <c r="J2479" s="445"/>
      <c r="K2479" s="283">
        <v>1250</v>
      </c>
      <c r="L2479" s="283"/>
      <c r="M2479" s="283">
        <f t="shared" si="372"/>
        <v>1250</v>
      </c>
      <c r="N2479" s="283"/>
      <c r="O2479" s="815"/>
      <c r="P2479" s="108" t="s">
        <v>103</v>
      </c>
      <c r="Q2479" s="522">
        <f>SUM(Q2480:Q2481)</f>
        <v>1250</v>
      </c>
      <c r="R2479" s="522">
        <f>SUM(R2480:R2481)</f>
        <v>1250</v>
      </c>
      <c r="S2479" s="933"/>
      <c r="T2479" s="933"/>
      <c r="U2479" s="933"/>
      <c r="W2479" s="42" t="s">
        <v>930</v>
      </c>
      <c r="X2479" s="16">
        <f t="shared" si="373"/>
        <v>1250</v>
      </c>
      <c r="Y2479" s="16">
        <f>X2479-M2479</f>
        <v>0</v>
      </c>
    </row>
    <row r="2480" spans="1:25" s="42" customFormat="1" ht="30" customHeight="1">
      <c r="A2480" s="740"/>
      <c r="B2480" s="918" t="s">
        <v>1919</v>
      </c>
      <c r="C2480" s="649"/>
      <c r="D2480" s="444"/>
      <c r="E2480" s="329"/>
      <c r="H2480" s="283"/>
      <c r="I2480" s="283"/>
      <c r="J2480" s="445"/>
      <c r="K2480" s="283"/>
      <c r="L2480" s="283"/>
      <c r="M2480" s="283"/>
      <c r="N2480" s="283"/>
      <c r="O2480" s="815"/>
      <c r="P2480" s="164"/>
      <c r="Q2480" s="93">
        <v>1000</v>
      </c>
      <c r="R2480" s="93">
        <v>1000</v>
      </c>
      <c r="S2480" s="1386" t="s">
        <v>1920</v>
      </c>
      <c r="T2480" s="1386"/>
      <c r="U2480" s="1386"/>
      <c r="X2480" s="16"/>
      <c r="Y2480" s="16"/>
    </row>
    <row r="2481" spans="1:25" s="42" customFormat="1" ht="30" customHeight="1">
      <c r="A2481" s="740"/>
      <c r="B2481" s="918" t="s">
        <v>1921</v>
      </c>
      <c r="C2481" s="649"/>
      <c r="D2481" s="444"/>
      <c r="E2481" s="329"/>
      <c r="H2481" s="283"/>
      <c r="I2481" s="283"/>
      <c r="J2481" s="445"/>
      <c r="K2481" s="283"/>
      <c r="L2481" s="283"/>
      <c r="M2481" s="283"/>
      <c r="N2481" s="283"/>
      <c r="O2481" s="815"/>
      <c r="P2481" s="164"/>
      <c r="Q2481" s="93">
        <v>250</v>
      </c>
      <c r="R2481" s="93">
        <v>250</v>
      </c>
      <c r="S2481" s="1386" t="s">
        <v>1922</v>
      </c>
      <c r="T2481" s="1386"/>
      <c r="U2481" s="1386"/>
      <c r="X2481" s="16"/>
      <c r="Y2481" s="16"/>
    </row>
    <row r="2482" spans="1:25" s="42" customFormat="1" ht="15">
      <c r="A2482" s="740"/>
      <c r="B2482" s="446"/>
      <c r="C2482" s="649"/>
      <c r="D2482" s="444"/>
      <c r="E2482" s="647"/>
      <c r="H2482" s="283"/>
      <c r="I2482" s="283"/>
      <c r="J2482" s="445"/>
      <c r="K2482" s="283"/>
      <c r="L2482" s="283"/>
      <c r="M2482" s="283"/>
      <c r="N2482" s="283"/>
      <c r="O2482" s="815"/>
      <c r="P2482" s="164"/>
      <c r="Q2482" s="351"/>
      <c r="R2482" s="351"/>
      <c r="S2482" s="933"/>
      <c r="T2482" s="933"/>
      <c r="U2482" s="933"/>
      <c r="X2482" s="16"/>
      <c r="Y2482" s="16"/>
    </row>
    <row r="2483" spans="1:25" s="42" customFormat="1" ht="15">
      <c r="A2483" s="740"/>
      <c r="B2483" s="446" t="s">
        <v>1594</v>
      </c>
      <c r="C2483" s="649" t="s">
        <v>1924</v>
      </c>
      <c r="D2483" s="444">
        <v>40899</v>
      </c>
      <c r="E2483" s="647"/>
      <c r="F2483" s="42" t="s">
        <v>1923</v>
      </c>
      <c r="H2483" s="283"/>
      <c r="I2483" s="283"/>
      <c r="J2483" s="445"/>
      <c r="K2483" s="283">
        <v>2000</v>
      </c>
      <c r="L2483" s="283"/>
      <c r="M2483" s="283">
        <f t="shared" ref="M2483:M2493" si="374">SUM(K2483:L2483)</f>
        <v>2000</v>
      </c>
      <c r="N2483" s="283"/>
      <c r="O2483" s="815"/>
      <c r="P2483" s="108" t="s">
        <v>103</v>
      </c>
      <c r="Q2483" s="351">
        <v>2000</v>
      </c>
      <c r="R2483" s="351">
        <v>2000</v>
      </c>
      <c r="S2483" s="1364" t="s">
        <v>1925</v>
      </c>
      <c r="T2483" s="1364"/>
      <c r="U2483" s="1364"/>
      <c r="W2483" s="42" t="s">
        <v>930</v>
      </c>
      <c r="X2483" s="16">
        <f t="shared" ref="X2483:X2493" si="375">SUM(J2483:L2483)</f>
        <v>2000</v>
      </c>
      <c r="Y2483" s="16">
        <f t="shared" ref="Y2483:Y2493" si="376">X2483-M2483</f>
        <v>0</v>
      </c>
    </row>
    <row r="2484" spans="1:25" s="42" customFormat="1" ht="47.25" customHeight="1">
      <c r="A2484" s="740"/>
      <c r="B2484" s="101" t="s">
        <v>1926</v>
      </c>
      <c r="C2484" s="647" t="s">
        <v>1928</v>
      </c>
      <c r="D2484" s="527">
        <v>40899</v>
      </c>
      <c r="E2484" s="647"/>
      <c r="F2484" s="525" t="s">
        <v>1927</v>
      </c>
      <c r="H2484" s="283"/>
      <c r="I2484" s="283"/>
      <c r="J2484" s="445"/>
      <c r="K2484" s="283">
        <v>1000</v>
      </c>
      <c r="L2484" s="283"/>
      <c r="M2484" s="21">
        <f t="shared" si="374"/>
        <v>1000</v>
      </c>
      <c r="N2484" s="283"/>
      <c r="O2484" s="815"/>
      <c r="P2484" s="108" t="s">
        <v>103</v>
      </c>
      <c r="Q2484" s="93">
        <v>1000</v>
      </c>
      <c r="R2484" s="93">
        <v>1000</v>
      </c>
      <c r="S2484" s="1386" t="s">
        <v>1929</v>
      </c>
      <c r="T2484" s="1386"/>
      <c r="U2484" s="1386"/>
      <c r="V2484" s="525"/>
      <c r="W2484" s="525" t="s">
        <v>930</v>
      </c>
      <c r="X2484" s="16">
        <f t="shared" si="375"/>
        <v>1000</v>
      </c>
      <c r="Y2484" s="16">
        <f t="shared" si="376"/>
        <v>0</v>
      </c>
    </row>
    <row r="2485" spans="1:25" s="42" customFormat="1" ht="15">
      <c r="A2485" s="740"/>
      <c r="B2485" s="446" t="s">
        <v>1678</v>
      </c>
      <c r="C2485" s="649" t="s">
        <v>1931</v>
      </c>
      <c r="D2485" s="444">
        <v>40899</v>
      </c>
      <c r="E2485" s="647"/>
      <c r="F2485" s="42" t="s">
        <v>1930</v>
      </c>
      <c r="H2485" s="283"/>
      <c r="I2485" s="283"/>
      <c r="J2485" s="445"/>
      <c r="K2485" s="283">
        <v>5000</v>
      </c>
      <c r="L2485" s="283"/>
      <c r="M2485" s="283">
        <f t="shared" si="374"/>
        <v>5000</v>
      </c>
      <c r="N2485" s="283"/>
      <c r="O2485" s="815"/>
      <c r="P2485" s="108" t="s">
        <v>103</v>
      </c>
      <c r="Q2485" s="351">
        <v>5000</v>
      </c>
      <c r="R2485" s="351">
        <v>5000</v>
      </c>
      <c r="S2485" s="933"/>
      <c r="T2485" s="933"/>
      <c r="U2485" s="933"/>
      <c r="W2485" s="42" t="s">
        <v>930</v>
      </c>
      <c r="X2485" s="16">
        <f t="shared" si="375"/>
        <v>5000</v>
      </c>
      <c r="Y2485" s="16">
        <f t="shared" si="376"/>
        <v>0</v>
      </c>
    </row>
    <row r="2486" spans="1:25" s="42" customFormat="1" ht="15">
      <c r="A2486" s="740"/>
      <c r="B2486" s="446" t="s">
        <v>1616</v>
      </c>
      <c r="C2486" s="649" t="s">
        <v>1933</v>
      </c>
      <c r="D2486" s="444">
        <v>40899</v>
      </c>
      <c r="E2486" s="647"/>
      <c r="F2486" s="42" t="s">
        <v>1932</v>
      </c>
      <c r="H2486" s="283"/>
      <c r="I2486" s="283"/>
      <c r="J2486" s="445"/>
      <c r="K2486" s="283">
        <v>10000</v>
      </c>
      <c r="L2486" s="283"/>
      <c r="M2486" s="283">
        <f t="shared" si="374"/>
        <v>10000</v>
      </c>
      <c r="N2486" s="283"/>
      <c r="O2486" s="815"/>
      <c r="P2486" s="108" t="s">
        <v>103</v>
      </c>
      <c r="Q2486" s="351">
        <v>10000</v>
      </c>
      <c r="R2486" s="351">
        <v>10000</v>
      </c>
      <c r="S2486" s="933"/>
      <c r="T2486" s="933"/>
      <c r="U2486" s="933"/>
      <c r="W2486" s="42" t="s">
        <v>930</v>
      </c>
      <c r="X2486" s="16">
        <f t="shared" si="375"/>
        <v>10000</v>
      </c>
      <c r="Y2486" s="16">
        <f t="shared" si="376"/>
        <v>0</v>
      </c>
    </row>
    <row r="2487" spans="1:25" s="42" customFormat="1" ht="45">
      <c r="A2487" s="740"/>
      <c r="B2487" s="446" t="s">
        <v>1591</v>
      </c>
      <c r="C2487" s="649" t="s">
        <v>1935</v>
      </c>
      <c r="D2487" s="444">
        <v>40899</v>
      </c>
      <c r="E2487" s="647"/>
      <c r="F2487" s="42" t="s">
        <v>1934</v>
      </c>
      <c r="H2487" s="283"/>
      <c r="I2487" s="283"/>
      <c r="J2487" s="445"/>
      <c r="K2487" s="283">
        <v>15000</v>
      </c>
      <c r="L2487" s="283"/>
      <c r="M2487" s="283">
        <f t="shared" si="374"/>
        <v>15000</v>
      </c>
      <c r="N2487" s="283"/>
      <c r="O2487" s="815"/>
      <c r="P2487" s="108" t="s">
        <v>103</v>
      </c>
      <c r="Q2487" s="351">
        <v>15000</v>
      </c>
      <c r="R2487" s="351">
        <v>15000</v>
      </c>
      <c r="S2487" s="933" t="s">
        <v>6353</v>
      </c>
      <c r="T2487" s="933"/>
      <c r="U2487" s="933"/>
      <c r="W2487" s="42" t="s">
        <v>930</v>
      </c>
      <c r="X2487" s="16">
        <f t="shared" si="375"/>
        <v>15000</v>
      </c>
      <c r="Y2487" s="16">
        <f t="shared" si="376"/>
        <v>0</v>
      </c>
    </row>
    <row r="2488" spans="1:25" s="42" customFormat="1" ht="15">
      <c r="A2488" s="740"/>
      <c r="B2488" s="446" t="s">
        <v>1675</v>
      </c>
      <c r="C2488" s="649" t="s">
        <v>1937</v>
      </c>
      <c r="D2488" s="444">
        <v>40899</v>
      </c>
      <c r="E2488" s="647"/>
      <c r="F2488" s="42" t="s">
        <v>1936</v>
      </c>
      <c r="H2488" s="283"/>
      <c r="I2488" s="283"/>
      <c r="J2488" s="445"/>
      <c r="K2488" s="283">
        <v>5000</v>
      </c>
      <c r="L2488" s="283"/>
      <c r="M2488" s="283">
        <f t="shared" si="374"/>
        <v>5000</v>
      </c>
      <c r="N2488" s="283"/>
      <c r="O2488" s="815"/>
      <c r="P2488" s="108" t="s">
        <v>103</v>
      </c>
      <c r="Q2488" s="351">
        <v>5000</v>
      </c>
      <c r="R2488" s="351">
        <v>5000</v>
      </c>
      <c r="S2488" s="933"/>
      <c r="T2488" s="933"/>
      <c r="U2488" s="933"/>
      <c r="W2488" s="42" t="s">
        <v>930</v>
      </c>
      <c r="X2488" s="16">
        <f t="shared" si="375"/>
        <v>5000</v>
      </c>
      <c r="Y2488" s="16">
        <f t="shared" si="376"/>
        <v>0</v>
      </c>
    </row>
    <row r="2489" spans="1:25" s="42" customFormat="1" ht="15">
      <c r="A2489" s="740"/>
      <c r="B2489" s="446" t="s">
        <v>1639</v>
      </c>
      <c r="C2489" s="649" t="s">
        <v>1939</v>
      </c>
      <c r="D2489" s="444">
        <v>40899</v>
      </c>
      <c r="E2489" s="647"/>
      <c r="F2489" s="42" t="s">
        <v>1938</v>
      </c>
      <c r="H2489" s="283"/>
      <c r="I2489" s="283"/>
      <c r="J2489" s="445"/>
      <c r="K2489" s="283">
        <v>7500</v>
      </c>
      <c r="L2489" s="283"/>
      <c r="M2489" s="283">
        <f t="shared" si="374"/>
        <v>7500</v>
      </c>
      <c r="N2489" s="283"/>
      <c r="O2489" s="815"/>
      <c r="P2489" s="108" t="s">
        <v>103</v>
      </c>
      <c r="Q2489" s="351">
        <v>7500</v>
      </c>
      <c r="R2489" s="351">
        <v>7500</v>
      </c>
      <c r="S2489" s="933"/>
      <c r="T2489" s="933"/>
      <c r="U2489" s="933"/>
      <c r="W2489" s="42" t="s">
        <v>930</v>
      </c>
      <c r="X2489" s="16">
        <f t="shared" si="375"/>
        <v>7500</v>
      </c>
      <c r="Y2489" s="16">
        <f t="shared" si="376"/>
        <v>0</v>
      </c>
    </row>
    <row r="2490" spans="1:25" s="42" customFormat="1" ht="67.5" customHeight="1">
      <c r="A2490" s="740"/>
      <c r="B2490" s="101" t="s">
        <v>1672</v>
      </c>
      <c r="C2490" s="647" t="s">
        <v>1941</v>
      </c>
      <c r="D2490" s="527">
        <v>40893</v>
      </c>
      <c r="E2490" s="647"/>
      <c r="F2490" s="525" t="s">
        <v>1940</v>
      </c>
      <c r="G2490" s="525"/>
      <c r="H2490" s="21"/>
      <c r="I2490" s="21"/>
      <c r="J2490" s="528"/>
      <c r="K2490" s="21">
        <v>2500</v>
      </c>
      <c r="L2490" s="21"/>
      <c r="M2490" s="21">
        <f t="shared" si="374"/>
        <v>2500</v>
      </c>
      <c r="N2490" s="21"/>
      <c r="O2490" s="58"/>
      <c r="P2490" s="108" t="s">
        <v>103</v>
      </c>
      <c r="Q2490" s="93">
        <v>2500</v>
      </c>
      <c r="R2490" s="93">
        <v>2500</v>
      </c>
      <c r="S2490" s="1346" t="s">
        <v>4632</v>
      </c>
      <c r="T2490" s="1346"/>
      <c r="U2490" s="1346"/>
      <c r="V2490" s="525"/>
      <c r="W2490" s="525" t="s">
        <v>930</v>
      </c>
      <c r="X2490" s="16">
        <f t="shared" si="375"/>
        <v>2500</v>
      </c>
      <c r="Y2490" s="16">
        <f t="shared" si="376"/>
        <v>0</v>
      </c>
    </row>
    <row r="2491" spans="1:25" s="42" customFormat="1" ht="60">
      <c r="A2491" s="740"/>
      <c r="B2491" s="446" t="s">
        <v>1687</v>
      </c>
      <c r="C2491" s="649" t="s">
        <v>1943</v>
      </c>
      <c r="D2491" s="444">
        <v>40893</v>
      </c>
      <c r="E2491" s="647"/>
      <c r="F2491" s="42" t="s">
        <v>1942</v>
      </c>
      <c r="H2491" s="283"/>
      <c r="I2491" s="283"/>
      <c r="J2491" s="445"/>
      <c r="K2491" s="283">
        <v>2500</v>
      </c>
      <c r="L2491" s="283"/>
      <c r="M2491" s="283">
        <f t="shared" si="374"/>
        <v>2500</v>
      </c>
      <c r="N2491" s="283"/>
      <c r="O2491" s="815"/>
      <c r="P2491" s="108" t="s">
        <v>103</v>
      </c>
      <c r="Q2491" s="351">
        <v>2500</v>
      </c>
      <c r="R2491" s="351">
        <v>2500</v>
      </c>
      <c r="S2491" s="1123" t="s">
        <v>6243</v>
      </c>
      <c r="T2491" s="933"/>
      <c r="U2491" s="933"/>
      <c r="W2491" s="42" t="s">
        <v>930</v>
      </c>
      <c r="X2491" s="16">
        <f t="shared" si="375"/>
        <v>2500</v>
      </c>
      <c r="Y2491" s="16">
        <f t="shared" si="376"/>
        <v>0</v>
      </c>
    </row>
    <row r="2492" spans="1:25" s="42" customFormat="1" ht="30" customHeight="1">
      <c r="A2492" s="740"/>
      <c r="B2492" s="101" t="s">
        <v>1561</v>
      </c>
      <c r="C2492" s="647" t="s">
        <v>1945</v>
      </c>
      <c r="D2492" s="527">
        <v>40893</v>
      </c>
      <c r="E2492" s="647"/>
      <c r="F2492" s="525" t="s">
        <v>1944</v>
      </c>
      <c r="G2492" s="525"/>
      <c r="H2492" s="21"/>
      <c r="I2492" s="21"/>
      <c r="J2492" s="528"/>
      <c r="K2492" s="21">
        <v>2500</v>
      </c>
      <c r="L2492" s="21"/>
      <c r="M2492" s="21">
        <f t="shared" si="374"/>
        <v>2500</v>
      </c>
      <c r="N2492" s="21"/>
      <c r="O2492" s="58"/>
      <c r="P2492" s="108" t="s">
        <v>103</v>
      </c>
      <c r="Q2492" s="93">
        <v>2500</v>
      </c>
      <c r="R2492" s="93">
        <v>2500</v>
      </c>
      <c r="S2492" s="1326" t="s">
        <v>6007</v>
      </c>
      <c r="T2492" s="1326"/>
      <c r="U2492" s="1326"/>
      <c r="V2492" s="525"/>
      <c r="W2492" s="525" t="s">
        <v>930</v>
      </c>
      <c r="X2492" s="16">
        <f t="shared" si="375"/>
        <v>2500</v>
      </c>
      <c r="Y2492" s="16">
        <f t="shared" si="376"/>
        <v>0</v>
      </c>
    </row>
    <row r="2493" spans="1:25" s="42" customFormat="1" ht="15">
      <c r="A2493" s="740"/>
      <c r="B2493" s="446" t="s">
        <v>1616</v>
      </c>
      <c r="C2493" s="649" t="s">
        <v>1946</v>
      </c>
      <c r="D2493" s="444">
        <v>40893</v>
      </c>
      <c r="E2493" s="647"/>
      <c r="F2493" s="42" t="s">
        <v>315</v>
      </c>
      <c r="H2493" s="283"/>
      <c r="I2493" s="283"/>
      <c r="J2493" s="445"/>
      <c r="K2493" s="283">
        <v>5000</v>
      </c>
      <c r="L2493" s="283"/>
      <c r="M2493" s="283">
        <f t="shared" si="374"/>
        <v>5000</v>
      </c>
      <c r="N2493" s="283"/>
      <c r="O2493" s="815"/>
      <c r="P2493" s="108" t="s">
        <v>103</v>
      </c>
      <c r="Q2493" s="522">
        <f>SUM(Q2494:Q2495)</f>
        <v>5000</v>
      </c>
      <c r="R2493" s="522">
        <f>SUM(R2494:R2495)</f>
        <v>5000</v>
      </c>
      <c r="S2493" s="933"/>
      <c r="T2493" s="933"/>
      <c r="U2493" s="933"/>
      <c r="W2493" s="42" t="s">
        <v>930</v>
      </c>
      <c r="X2493" s="16">
        <f t="shared" si="375"/>
        <v>5000</v>
      </c>
      <c r="Y2493" s="16">
        <f t="shared" si="376"/>
        <v>0</v>
      </c>
    </row>
    <row r="2494" spans="1:25" s="42" customFormat="1" ht="15">
      <c r="A2494" s="740"/>
      <c r="B2494" s="918" t="s">
        <v>1947</v>
      </c>
      <c r="C2494" s="649"/>
      <c r="D2494" s="444"/>
      <c r="E2494" s="784"/>
      <c r="H2494" s="283"/>
      <c r="I2494" s="283"/>
      <c r="J2494" s="445"/>
      <c r="K2494" s="283"/>
      <c r="L2494" s="283"/>
      <c r="M2494" s="283"/>
      <c r="N2494" s="283"/>
      <c r="O2494" s="815"/>
      <c r="P2494" s="164"/>
      <c r="Q2494" s="351">
        <v>2500</v>
      </c>
      <c r="R2494" s="351">
        <v>2500</v>
      </c>
      <c r="S2494" s="933"/>
      <c r="T2494" s="933"/>
      <c r="U2494" s="933"/>
      <c r="X2494" s="16"/>
      <c r="Y2494" s="16"/>
    </row>
    <row r="2495" spans="1:25" s="42" customFormat="1" ht="15">
      <c r="A2495" s="740"/>
      <c r="B2495" s="918" t="s">
        <v>1842</v>
      </c>
      <c r="C2495" s="649"/>
      <c r="D2495" s="444"/>
      <c r="E2495" s="784"/>
      <c r="H2495" s="283"/>
      <c r="I2495" s="283"/>
      <c r="J2495" s="445"/>
      <c r="K2495" s="283"/>
      <c r="L2495" s="283"/>
      <c r="M2495" s="283"/>
      <c r="N2495" s="283"/>
      <c r="O2495" s="815"/>
      <c r="P2495" s="164"/>
      <c r="Q2495" s="351">
        <v>2500</v>
      </c>
      <c r="R2495" s="351">
        <v>2500</v>
      </c>
      <c r="S2495" s="933"/>
      <c r="T2495" s="933"/>
      <c r="U2495" s="933"/>
      <c r="X2495" s="16"/>
      <c r="Y2495" s="16"/>
    </row>
    <row r="2496" spans="1:25" s="42" customFormat="1" ht="15">
      <c r="A2496" s="740"/>
      <c r="B2496" s="446"/>
      <c r="C2496" s="649"/>
      <c r="D2496" s="444"/>
      <c r="E2496" s="647"/>
      <c r="H2496" s="283"/>
      <c r="I2496" s="283"/>
      <c r="J2496" s="445"/>
      <c r="K2496" s="283"/>
      <c r="L2496" s="283"/>
      <c r="M2496" s="283"/>
      <c r="N2496" s="283"/>
      <c r="O2496" s="815"/>
      <c r="P2496" s="164"/>
      <c r="Q2496" s="351"/>
      <c r="R2496" s="351"/>
      <c r="S2496" s="933"/>
      <c r="T2496" s="933"/>
      <c r="U2496" s="933"/>
      <c r="X2496" s="16"/>
      <c r="Y2496" s="16"/>
    </row>
    <row r="2497" spans="1:25" s="42" customFormat="1" ht="15">
      <c r="A2497" s="740"/>
      <c r="B2497" s="446" t="s">
        <v>1591</v>
      </c>
      <c r="C2497" s="649" t="s">
        <v>1948</v>
      </c>
      <c r="D2497" s="444">
        <v>40893</v>
      </c>
      <c r="E2497" s="647"/>
      <c r="F2497" s="42" t="s">
        <v>315</v>
      </c>
      <c r="H2497" s="283"/>
      <c r="I2497" s="283"/>
      <c r="J2497" s="445"/>
      <c r="K2497" s="283">
        <v>5000</v>
      </c>
      <c r="L2497" s="283"/>
      <c r="M2497" s="283">
        <f t="shared" ref="M2497:M2504" si="377">SUM(K2497:L2497)</f>
        <v>5000</v>
      </c>
      <c r="N2497" s="283"/>
      <c r="O2497" s="815"/>
      <c r="P2497" s="108" t="s">
        <v>103</v>
      </c>
      <c r="Q2497" s="522">
        <f>SUM(Q2498:Q2499)</f>
        <v>5000</v>
      </c>
      <c r="R2497" s="522">
        <f>SUM(R2498:R2499)</f>
        <v>5000</v>
      </c>
      <c r="S2497" s="933"/>
      <c r="T2497" s="933"/>
      <c r="U2497" s="933"/>
      <c r="W2497" s="42" t="s">
        <v>930</v>
      </c>
      <c r="X2497" s="16">
        <f t="shared" ref="X2497:X2504" si="378">SUM(J2497:L2497)</f>
        <v>5000</v>
      </c>
      <c r="Y2497" s="16">
        <f>X2497-M2497</f>
        <v>0</v>
      </c>
    </row>
    <row r="2498" spans="1:25" s="42" customFormat="1" ht="15">
      <c r="A2498" s="740"/>
      <c r="B2498" s="715" t="s">
        <v>6354</v>
      </c>
      <c r="C2498" s="649"/>
      <c r="D2498" s="444"/>
      <c r="E2498" s="647"/>
      <c r="H2498" s="283"/>
      <c r="I2498" s="283"/>
      <c r="J2498" s="445"/>
      <c r="K2498" s="283"/>
      <c r="L2498" s="283"/>
      <c r="M2498" s="283"/>
      <c r="N2498" s="283"/>
      <c r="O2498" s="815"/>
      <c r="P2498" s="108"/>
      <c r="Q2498" s="351">
        <v>2500</v>
      </c>
      <c r="R2498" s="351">
        <v>2500</v>
      </c>
      <c r="S2498" s="933"/>
      <c r="T2498" s="933"/>
      <c r="U2498" s="933"/>
      <c r="X2498" s="16"/>
      <c r="Y2498" s="16"/>
    </row>
    <row r="2499" spans="1:25" s="42" customFormat="1" ht="15">
      <c r="A2499" s="740"/>
      <c r="B2499" s="715" t="s">
        <v>6355</v>
      </c>
      <c r="C2499" s="649"/>
      <c r="D2499" s="444"/>
      <c r="E2499" s="647"/>
      <c r="H2499" s="283"/>
      <c r="I2499" s="283"/>
      <c r="J2499" s="445"/>
      <c r="K2499" s="283"/>
      <c r="L2499" s="283"/>
      <c r="M2499" s="283"/>
      <c r="N2499" s="283"/>
      <c r="O2499" s="815"/>
      <c r="P2499" s="108"/>
      <c r="Q2499" s="351">
        <v>2500</v>
      </c>
      <c r="R2499" s="351">
        <v>2500</v>
      </c>
      <c r="S2499" s="933"/>
      <c r="T2499" s="933"/>
      <c r="U2499" s="933"/>
      <c r="X2499" s="16"/>
      <c r="Y2499" s="16"/>
    </row>
    <row r="2500" spans="1:25" s="42" customFormat="1" ht="15">
      <c r="A2500" s="740"/>
      <c r="B2500" s="715"/>
      <c r="C2500" s="649"/>
      <c r="D2500" s="444"/>
      <c r="E2500" s="647"/>
      <c r="H2500" s="283"/>
      <c r="I2500" s="283"/>
      <c r="J2500" s="445"/>
      <c r="K2500" s="283"/>
      <c r="L2500" s="283"/>
      <c r="M2500" s="283"/>
      <c r="N2500" s="283"/>
      <c r="O2500" s="815"/>
      <c r="P2500" s="108"/>
      <c r="Q2500" s="351"/>
      <c r="R2500" s="351"/>
      <c r="S2500" s="933"/>
      <c r="T2500" s="933"/>
      <c r="U2500" s="933"/>
      <c r="X2500" s="16"/>
      <c r="Y2500" s="16"/>
    </row>
    <row r="2501" spans="1:25" s="42" customFormat="1" ht="15">
      <c r="A2501" s="740"/>
      <c r="B2501" s="446" t="s">
        <v>1607</v>
      </c>
      <c r="C2501" s="649" t="s">
        <v>1949</v>
      </c>
      <c r="D2501" s="444">
        <v>40893</v>
      </c>
      <c r="E2501" s="647"/>
      <c r="F2501" s="42" t="s">
        <v>361</v>
      </c>
      <c r="H2501" s="283"/>
      <c r="I2501" s="283"/>
      <c r="J2501" s="445"/>
      <c r="K2501" s="283">
        <v>2500</v>
      </c>
      <c r="L2501" s="283"/>
      <c r="M2501" s="283">
        <f t="shared" si="377"/>
        <v>2500</v>
      </c>
      <c r="N2501" s="283"/>
      <c r="O2501" s="815"/>
      <c r="P2501" s="108" t="s">
        <v>103</v>
      </c>
      <c r="Q2501" s="351">
        <v>2500</v>
      </c>
      <c r="R2501" s="351">
        <v>2500</v>
      </c>
      <c r="S2501" s="933"/>
      <c r="T2501" s="933"/>
      <c r="U2501" s="933"/>
      <c r="W2501" s="42" t="s">
        <v>930</v>
      </c>
      <c r="X2501" s="16">
        <f t="shared" si="378"/>
        <v>2500</v>
      </c>
      <c r="Y2501" s="16">
        <f>X2501-M2501</f>
        <v>0</v>
      </c>
    </row>
    <row r="2502" spans="1:25" s="42" customFormat="1" ht="31.5" customHeight="1">
      <c r="A2502" s="740"/>
      <c r="B2502" s="101" t="s">
        <v>1594</v>
      </c>
      <c r="C2502" s="647" t="s">
        <v>1951</v>
      </c>
      <c r="D2502" s="527">
        <v>40893</v>
      </c>
      <c r="E2502" s="647"/>
      <c r="F2502" s="525" t="s">
        <v>1950</v>
      </c>
      <c r="G2502" s="525"/>
      <c r="H2502" s="21"/>
      <c r="I2502" s="21"/>
      <c r="J2502" s="528"/>
      <c r="K2502" s="21">
        <v>2500</v>
      </c>
      <c r="L2502" s="21"/>
      <c r="M2502" s="21">
        <f t="shared" si="377"/>
        <v>2500</v>
      </c>
      <c r="N2502" s="21"/>
      <c r="O2502" s="58"/>
      <c r="P2502" s="108" t="s">
        <v>103</v>
      </c>
      <c r="Q2502" s="93">
        <v>2500</v>
      </c>
      <c r="R2502" s="93">
        <v>2500</v>
      </c>
      <c r="S2502" s="1326" t="s">
        <v>1952</v>
      </c>
      <c r="T2502" s="1326"/>
      <c r="U2502" s="1326"/>
      <c r="V2502" s="525"/>
      <c r="W2502" s="525" t="s">
        <v>930</v>
      </c>
      <c r="X2502" s="16">
        <f t="shared" si="378"/>
        <v>2500</v>
      </c>
      <c r="Y2502" s="16">
        <f>X2502-M2502</f>
        <v>0</v>
      </c>
    </row>
    <row r="2503" spans="1:25" s="42" customFormat="1" ht="15">
      <c r="A2503" s="740"/>
      <c r="B2503" s="446" t="s">
        <v>1628</v>
      </c>
      <c r="C2503" s="649" t="s">
        <v>1954</v>
      </c>
      <c r="D2503" s="444">
        <v>40893</v>
      </c>
      <c r="E2503" s="647"/>
      <c r="F2503" s="42" t="s">
        <v>1953</v>
      </c>
      <c r="H2503" s="283"/>
      <c r="I2503" s="283"/>
      <c r="J2503" s="445"/>
      <c r="K2503" s="283">
        <v>2500</v>
      </c>
      <c r="L2503" s="283"/>
      <c r="M2503" s="283">
        <f t="shared" si="377"/>
        <v>2500</v>
      </c>
      <c r="N2503" s="283"/>
      <c r="O2503" s="815"/>
      <c r="P2503" s="108" t="s">
        <v>103</v>
      </c>
      <c r="Q2503" s="351">
        <v>2500</v>
      </c>
      <c r="R2503" s="351">
        <v>2500</v>
      </c>
      <c r="S2503" s="933"/>
      <c r="T2503" s="933"/>
      <c r="U2503" s="933"/>
      <c r="W2503" s="42" t="s">
        <v>930</v>
      </c>
      <c r="X2503" s="16">
        <f t="shared" si="378"/>
        <v>2500</v>
      </c>
      <c r="Y2503" s="16">
        <f>X2503-M2503</f>
        <v>0</v>
      </c>
    </row>
    <row r="2504" spans="1:25" s="42" customFormat="1" ht="15">
      <c r="A2504" s="740"/>
      <c r="B2504" s="446" t="s">
        <v>1600</v>
      </c>
      <c r="C2504" s="649" t="s">
        <v>1955</v>
      </c>
      <c r="D2504" s="444">
        <v>40893</v>
      </c>
      <c r="E2504" s="647"/>
      <c r="F2504" s="42" t="s">
        <v>315</v>
      </c>
      <c r="H2504" s="283"/>
      <c r="I2504" s="283"/>
      <c r="J2504" s="445"/>
      <c r="K2504" s="283">
        <v>5000</v>
      </c>
      <c r="L2504" s="283"/>
      <c r="M2504" s="283">
        <f t="shared" si="377"/>
        <v>5000</v>
      </c>
      <c r="N2504" s="283"/>
      <c r="O2504" s="815"/>
      <c r="P2504" s="108" t="s">
        <v>103</v>
      </c>
      <c r="Q2504" s="522">
        <f>SUM(Q2505:Q2506)</f>
        <v>5000</v>
      </c>
      <c r="R2504" s="522">
        <f>SUM(R2505:R2506)</f>
        <v>5000</v>
      </c>
      <c r="S2504" s="933"/>
      <c r="T2504" s="933"/>
      <c r="U2504" s="933"/>
      <c r="W2504" s="42" t="s">
        <v>930</v>
      </c>
      <c r="X2504" s="16">
        <f t="shared" si="378"/>
        <v>5000</v>
      </c>
      <c r="Y2504" s="16">
        <f>X2504-M2504</f>
        <v>0</v>
      </c>
    </row>
    <row r="2505" spans="1:25" s="42" customFormat="1" ht="15" customHeight="1">
      <c r="A2505" s="740"/>
      <c r="B2505" s="530" t="s">
        <v>1956</v>
      </c>
      <c r="C2505" s="649"/>
      <c r="D2505" s="444"/>
      <c r="E2505" s="784"/>
      <c r="H2505" s="283"/>
      <c r="I2505" s="283"/>
      <c r="J2505" s="445"/>
      <c r="K2505" s="283"/>
      <c r="L2505" s="283"/>
      <c r="M2505" s="283"/>
      <c r="N2505" s="283"/>
      <c r="O2505" s="815"/>
      <c r="P2505" s="164"/>
      <c r="Q2505" s="351">
        <v>2500</v>
      </c>
      <c r="R2505" s="351">
        <v>2500</v>
      </c>
      <c r="S2505" s="1385" t="s">
        <v>1957</v>
      </c>
      <c r="T2505" s="1385"/>
      <c r="U2505" s="1385"/>
      <c r="X2505" s="16"/>
      <c r="Y2505" s="16"/>
    </row>
    <row r="2506" spans="1:25" s="42" customFormat="1" ht="15">
      <c r="A2506" s="740"/>
      <c r="B2506" s="530" t="s">
        <v>1958</v>
      </c>
      <c r="C2506" s="649"/>
      <c r="D2506" s="444"/>
      <c r="E2506" s="784"/>
      <c r="H2506" s="283"/>
      <c r="I2506" s="283"/>
      <c r="J2506" s="445"/>
      <c r="K2506" s="283"/>
      <c r="L2506" s="283"/>
      <c r="M2506" s="283"/>
      <c r="N2506" s="283"/>
      <c r="O2506" s="815"/>
      <c r="P2506" s="164"/>
      <c r="Q2506" s="351">
        <v>2500</v>
      </c>
      <c r="R2506" s="351">
        <v>2500</v>
      </c>
      <c r="S2506" s="1385"/>
      <c r="T2506" s="1385"/>
      <c r="U2506" s="1385"/>
      <c r="X2506" s="16"/>
      <c r="Y2506" s="16"/>
    </row>
    <row r="2507" spans="1:25" s="42" customFormat="1" ht="14.25" customHeight="1">
      <c r="A2507" s="740"/>
      <c r="B2507" s="446"/>
      <c r="C2507" s="649"/>
      <c r="D2507" s="444"/>
      <c r="E2507" s="647"/>
      <c r="H2507" s="283"/>
      <c r="I2507" s="283"/>
      <c r="J2507" s="445"/>
      <c r="K2507" s="283"/>
      <c r="L2507" s="283"/>
      <c r="M2507" s="283"/>
      <c r="N2507" s="283"/>
      <c r="O2507" s="815"/>
      <c r="P2507" s="164"/>
      <c r="Q2507" s="351"/>
      <c r="R2507" s="351"/>
      <c r="S2507" s="877"/>
      <c r="T2507" s="877"/>
      <c r="U2507" s="877"/>
      <c r="X2507" s="16"/>
      <c r="Y2507" s="16"/>
    </row>
    <row r="2508" spans="1:25" s="42" customFormat="1" ht="15">
      <c r="A2508" s="740"/>
      <c r="B2508" s="446" t="s">
        <v>1651</v>
      </c>
      <c r="C2508" s="649" t="s">
        <v>1959</v>
      </c>
      <c r="D2508" s="444">
        <v>40893</v>
      </c>
      <c r="E2508" s="647"/>
      <c r="F2508" s="42" t="s">
        <v>315</v>
      </c>
      <c r="H2508" s="283"/>
      <c r="I2508" s="283"/>
      <c r="J2508" s="445"/>
      <c r="K2508" s="283">
        <v>7500</v>
      </c>
      <c r="L2508" s="283"/>
      <c r="M2508" s="283">
        <f t="shared" ref="M2508:M2509" si="379">SUM(K2508:L2508)</f>
        <v>7500</v>
      </c>
      <c r="N2508" s="283"/>
      <c r="O2508" s="815"/>
      <c r="P2508" s="108" t="s">
        <v>103</v>
      </c>
      <c r="Q2508" s="351">
        <v>7500</v>
      </c>
      <c r="R2508" s="351">
        <v>7500</v>
      </c>
      <c r="S2508" s="933"/>
      <c r="T2508" s="933"/>
      <c r="U2508" s="933"/>
      <c r="W2508" s="42" t="s">
        <v>930</v>
      </c>
      <c r="X2508" s="16">
        <f t="shared" ref="X2508:X2509" si="380">SUM(J2508:L2508)</f>
        <v>7500</v>
      </c>
      <c r="Y2508" s="16">
        <f>X2508-M2508</f>
        <v>0</v>
      </c>
    </row>
    <row r="2509" spans="1:25" s="42" customFormat="1" ht="15">
      <c r="A2509" s="740"/>
      <c r="B2509" s="446" t="s">
        <v>1648</v>
      </c>
      <c r="C2509" s="649" t="s">
        <v>1961</v>
      </c>
      <c r="D2509" s="444">
        <v>40893</v>
      </c>
      <c r="E2509" s="647"/>
      <c r="F2509" s="42" t="s">
        <v>1960</v>
      </c>
      <c r="H2509" s="283"/>
      <c r="I2509" s="283"/>
      <c r="J2509" s="445"/>
      <c r="K2509" s="283">
        <v>5000</v>
      </c>
      <c r="L2509" s="283"/>
      <c r="M2509" s="283">
        <f t="shared" si="379"/>
        <v>5000</v>
      </c>
      <c r="N2509" s="283"/>
      <c r="O2509" s="815"/>
      <c r="P2509" s="108" t="s">
        <v>103</v>
      </c>
      <c r="Q2509" s="522">
        <f>SUM(Q2510:Q2511)</f>
        <v>5000</v>
      </c>
      <c r="R2509" s="522">
        <f>SUM(R2510:R2511)</f>
        <v>5000</v>
      </c>
      <c r="S2509" s="933"/>
      <c r="T2509" s="933"/>
      <c r="U2509" s="933"/>
      <c r="W2509" s="42" t="s">
        <v>930</v>
      </c>
      <c r="X2509" s="16">
        <f t="shared" si="380"/>
        <v>5000</v>
      </c>
      <c r="Y2509" s="16">
        <f>X2509-M2509</f>
        <v>0</v>
      </c>
    </row>
    <row r="2510" spans="1:25" s="42" customFormat="1" ht="15">
      <c r="A2510" s="740"/>
      <c r="B2510" s="536" t="s">
        <v>1962</v>
      </c>
      <c r="C2510" s="649"/>
      <c r="D2510" s="444"/>
      <c r="E2510" s="108"/>
      <c r="H2510" s="283"/>
      <c r="I2510" s="283"/>
      <c r="J2510" s="445"/>
      <c r="K2510" s="283"/>
      <c r="L2510" s="283"/>
      <c r="M2510" s="283"/>
      <c r="N2510" s="283"/>
      <c r="O2510" s="815"/>
      <c r="P2510" s="164"/>
      <c r="Q2510" s="351">
        <v>2500</v>
      </c>
      <c r="R2510" s="351">
        <v>2500</v>
      </c>
      <c r="S2510" s="933"/>
      <c r="T2510" s="933"/>
      <c r="U2510" s="933">
        <v>2500</v>
      </c>
      <c r="X2510" s="16"/>
      <c r="Y2510" s="16"/>
    </row>
    <row r="2511" spans="1:25" s="42" customFormat="1" ht="15">
      <c r="A2511" s="740"/>
      <c r="B2511" s="533" t="s">
        <v>1772</v>
      </c>
      <c r="C2511" s="649"/>
      <c r="D2511" s="444"/>
      <c r="E2511" s="108"/>
      <c r="H2511" s="283"/>
      <c r="I2511" s="283"/>
      <c r="J2511" s="445"/>
      <c r="K2511" s="283"/>
      <c r="L2511" s="283"/>
      <c r="M2511" s="283"/>
      <c r="N2511" s="283"/>
      <c r="O2511" s="815"/>
      <c r="P2511" s="164"/>
      <c r="Q2511" s="351">
        <v>2500</v>
      </c>
      <c r="R2511" s="351">
        <v>2500</v>
      </c>
      <c r="S2511" s="933"/>
      <c r="T2511" s="933"/>
      <c r="U2511" s="933"/>
      <c r="X2511" s="16"/>
      <c r="Y2511" s="16"/>
    </row>
    <row r="2512" spans="1:25" s="42" customFormat="1" ht="15">
      <c r="A2512" s="740"/>
      <c r="B2512" s="446"/>
      <c r="C2512" s="649"/>
      <c r="D2512" s="444"/>
      <c r="E2512" s="647"/>
      <c r="H2512" s="283"/>
      <c r="I2512" s="283"/>
      <c r="J2512" s="445"/>
      <c r="K2512" s="283"/>
      <c r="L2512" s="283"/>
      <c r="M2512" s="283"/>
      <c r="N2512" s="283"/>
      <c r="O2512" s="815"/>
      <c r="P2512" s="164"/>
      <c r="Q2512" s="351"/>
      <c r="R2512" s="351"/>
      <c r="S2512" s="933"/>
      <c r="T2512" s="933"/>
      <c r="U2512" s="933"/>
      <c r="X2512" s="16"/>
      <c r="Y2512" s="16"/>
    </row>
    <row r="2513" spans="1:25" s="42" customFormat="1" ht="15">
      <c r="A2513" s="740"/>
      <c r="B2513" s="446" t="s">
        <v>1700</v>
      </c>
      <c r="C2513" s="649" t="s">
        <v>1964</v>
      </c>
      <c r="D2513" s="444">
        <v>40893</v>
      </c>
      <c r="E2513" s="647"/>
      <c r="F2513" s="42" t="s">
        <v>1963</v>
      </c>
      <c r="H2513" s="283"/>
      <c r="I2513" s="283"/>
      <c r="J2513" s="445"/>
      <c r="K2513" s="283">
        <v>2500</v>
      </c>
      <c r="L2513" s="283"/>
      <c r="M2513" s="283">
        <f t="shared" ref="M2513:M2541" si="381">SUM(K2513:L2513)</f>
        <v>2500</v>
      </c>
      <c r="N2513" s="283"/>
      <c r="O2513" s="815"/>
      <c r="P2513" s="108" t="s">
        <v>103</v>
      </c>
      <c r="Q2513" s="351">
        <v>2500</v>
      </c>
      <c r="R2513" s="351">
        <v>2500</v>
      </c>
      <c r="S2513" s="933"/>
      <c r="T2513" s="933"/>
      <c r="U2513" s="933"/>
      <c r="W2513" s="42" t="s">
        <v>930</v>
      </c>
      <c r="X2513" s="16">
        <f t="shared" ref="X2513:X2541" si="382">SUM(J2513:L2513)</f>
        <v>2500</v>
      </c>
      <c r="Y2513" s="16">
        <f t="shared" ref="Y2513:Y2541" si="383">X2513-M2513</f>
        <v>0</v>
      </c>
    </row>
    <row r="2514" spans="1:25" s="42" customFormat="1" ht="15">
      <c r="A2514" s="740"/>
      <c r="B2514" s="446" t="s">
        <v>1675</v>
      </c>
      <c r="C2514" s="649" t="s">
        <v>1966</v>
      </c>
      <c r="D2514" s="444">
        <v>40893</v>
      </c>
      <c r="E2514" s="647"/>
      <c r="F2514" s="42" t="s">
        <v>1965</v>
      </c>
      <c r="H2514" s="283"/>
      <c r="I2514" s="283"/>
      <c r="J2514" s="445"/>
      <c r="K2514" s="283">
        <v>2500</v>
      </c>
      <c r="L2514" s="283"/>
      <c r="M2514" s="283">
        <f t="shared" si="381"/>
        <v>2500</v>
      </c>
      <c r="N2514" s="283"/>
      <c r="O2514" s="815"/>
      <c r="P2514" s="108" t="s">
        <v>103</v>
      </c>
      <c r="Q2514" s="351">
        <v>2500</v>
      </c>
      <c r="R2514" s="351">
        <v>2500</v>
      </c>
      <c r="S2514" s="933"/>
      <c r="T2514" s="933"/>
      <c r="U2514" s="933"/>
      <c r="W2514" s="42" t="s">
        <v>930</v>
      </c>
      <c r="X2514" s="16">
        <f t="shared" si="382"/>
        <v>2500</v>
      </c>
      <c r="Y2514" s="16">
        <f t="shared" si="383"/>
        <v>0</v>
      </c>
    </row>
    <row r="2515" spans="1:25" s="42" customFormat="1" ht="15">
      <c r="A2515" s="740"/>
      <c r="B2515" s="446" t="s">
        <v>1639</v>
      </c>
      <c r="C2515" s="649" t="s">
        <v>1968</v>
      </c>
      <c r="D2515" s="444">
        <v>40893</v>
      </c>
      <c r="E2515" s="647"/>
      <c r="F2515" s="42" t="s">
        <v>1967</v>
      </c>
      <c r="H2515" s="283"/>
      <c r="I2515" s="283"/>
      <c r="J2515" s="445"/>
      <c r="K2515" s="283">
        <v>2500</v>
      </c>
      <c r="L2515" s="283"/>
      <c r="M2515" s="283">
        <f t="shared" si="381"/>
        <v>2500</v>
      </c>
      <c r="N2515" s="283"/>
      <c r="O2515" s="815"/>
      <c r="P2515" s="108" t="s">
        <v>103</v>
      </c>
      <c r="Q2515" s="351">
        <v>2500</v>
      </c>
      <c r="R2515" s="351">
        <v>2500</v>
      </c>
      <c r="S2515" s="933"/>
      <c r="T2515" s="933"/>
      <c r="U2515" s="933"/>
      <c r="W2515" s="42" t="s">
        <v>930</v>
      </c>
      <c r="X2515" s="16">
        <f t="shared" si="382"/>
        <v>2500</v>
      </c>
      <c r="Y2515" s="16">
        <f t="shared" si="383"/>
        <v>0</v>
      </c>
    </row>
    <row r="2516" spans="1:25" s="42" customFormat="1" ht="15">
      <c r="A2516" s="740"/>
      <c r="B2516" s="446" t="s">
        <v>1591</v>
      </c>
      <c r="C2516" s="649" t="s">
        <v>1969</v>
      </c>
      <c r="D2516" s="444">
        <v>40899</v>
      </c>
      <c r="E2516" s="647"/>
      <c r="F2516" s="42" t="s">
        <v>315</v>
      </c>
      <c r="H2516" s="283"/>
      <c r="I2516" s="283"/>
      <c r="J2516" s="445"/>
      <c r="K2516" s="283">
        <v>3500</v>
      </c>
      <c r="L2516" s="283"/>
      <c r="M2516" s="283">
        <f t="shared" si="381"/>
        <v>3500</v>
      </c>
      <c r="N2516" s="283"/>
      <c r="O2516" s="815"/>
      <c r="P2516" s="108" t="s">
        <v>103</v>
      </c>
      <c r="Q2516" s="351">
        <v>3500</v>
      </c>
      <c r="R2516" s="351">
        <v>3500</v>
      </c>
      <c r="S2516" s="933"/>
      <c r="T2516" s="933"/>
      <c r="U2516" s="933"/>
      <c r="W2516" s="42" t="s">
        <v>930</v>
      </c>
      <c r="X2516" s="16">
        <f t="shared" si="382"/>
        <v>3500</v>
      </c>
      <c r="Y2516" s="16">
        <f t="shared" si="383"/>
        <v>0</v>
      </c>
    </row>
    <row r="2517" spans="1:25" s="42" customFormat="1" ht="15">
      <c r="A2517" s="740"/>
      <c r="B2517" s="715" t="s">
        <v>6356</v>
      </c>
      <c r="C2517" s="649"/>
      <c r="D2517" s="444"/>
      <c r="E2517" s="647"/>
      <c r="H2517" s="283"/>
      <c r="I2517" s="283"/>
      <c r="J2517" s="445"/>
      <c r="K2517" s="283"/>
      <c r="L2517" s="283"/>
      <c r="M2517" s="283"/>
      <c r="N2517" s="283"/>
      <c r="O2517" s="815"/>
      <c r="P2517" s="108"/>
      <c r="Q2517" s="351"/>
      <c r="R2517" s="351"/>
      <c r="S2517" s="933"/>
      <c r="T2517" s="933"/>
      <c r="U2517" s="933"/>
      <c r="X2517" s="16"/>
      <c r="Y2517" s="16"/>
    </row>
    <row r="2518" spans="1:25" s="42" customFormat="1" ht="15">
      <c r="A2518" s="740"/>
      <c r="B2518" s="715" t="s">
        <v>6357</v>
      </c>
      <c r="C2518" s="649"/>
      <c r="D2518" s="444"/>
      <c r="E2518" s="647"/>
      <c r="H2518" s="283"/>
      <c r="I2518" s="283"/>
      <c r="J2518" s="445"/>
      <c r="K2518" s="283"/>
      <c r="L2518" s="283"/>
      <c r="M2518" s="283"/>
      <c r="N2518" s="283"/>
      <c r="O2518" s="815"/>
      <c r="P2518" s="108"/>
      <c r="Q2518" s="351"/>
      <c r="R2518" s="351"/>
      <c r="S2518" s="933"/>
      <c r="T2518" s="933"/>
      <c r="U2518" s="933"/>
      <c r="X2518" s="16"/>
      <c r="Y2518" s="16"/>
    </row>
    <row r="2519" spans="1:25" s="42" customFormat="1" ht="15">
      <c r="A2519" s="740"/>
      <c r="B2519" s="715" t="s">
        <v>6358</v>
      </c>
      <c r="C2519" s="649"/>
      <c r="D2519" s="444"/>
      <c r="E2519" s="647"/>
      <c r="H2519" s="283"/>
      <c r="I2519" s="283"/>
      <c r="J2519" s="445"/>
      <c r="K2519" s="283"/>
      <c r="L2519" s="283"/>
      <c r="M2519" s="283"/>
      <c r="N2519" s="283"/>
      <c r="O2519" s="815"/>
      <c r="P2519" s="108"/>
      <c r="Q2519" s="351"/>
      <c r="R2519" s="351"/>
      <c r="S2519" s="933"/>
      <c r="T2519" s="933"/>
      <c r="U2519" s="933"/>
      <c r="X2519" s="16"/>
      <c r="Y2519" s="16"/>
    </row>
    <row r="2520" spans="1:25" s="42" customFormat="1" ht="15">
      <c r="A2520" s="740"/>
      <c r="B2520" s="715"/>
      <c r="C2520" s="649"/>
      <c r="D2520" s="444"/>
      <c r="E2520" s="647"/>
      <c r="H2520" s="283"/>
      <c r="I2520" s="283"/>
      <c r="J2520" s="445"/>
      <c r="K2520" s="283"/>
      <c r="L2520" s="283"/>
      <c r="M2520" s="283"/>
      <c r="N2520" s="283"/>
      <c r="O2520" s="815"/>
      <c r="P2520" s="108"/>
      <c r="Q2520" s="351"/>
      <c r="R2520" s="351"/>
      <c r="S2520" s="933"/>
      <c r="T2520" s="933"/>
      <c r="U2520" s="933"/>
      <c r="X2520" s="16"/>
      <c r="Y2520" s="16"/>
    </row>
    <row r="2521" spans="1:25" s="42" customFormat="1" ht="15">
      <c r="A2521" s="740"/>
      <c r="B2521" s="446" t="s">
        <v>1616</v>
      </c>
      <c r="C2521" s="649" t="s">
        <v>1971</v>
      </c>
      <c r="D2521" s="444">
        <v>40899</v>
      </c>
      <c r="E2521" s="647"/>
      <c r="F2521" s="42" t="s">
        <v>1970</v>
      </c>
      <c r="H2521" s="283"/>
      <c r="I2521" s="283"/>
      <c r="J2521" s="445"/>
      <c r="K2521" s="283">
        <v>500</v>
      </c>
      <c r="L2521" s="283"/>
      <c r="M2521" s="283">
        <f t="shared" si="381"/>
        <v>500</v>
      </c>
      <c r="N2521" s="283"/>
      <c r="O2521" s="815"/>
      <c r="P2521" s="108" t="s">
        <v>103</v>
      </c>
      <c r="Q2521" s="351">
        <v>500</v>
      </c>
      <c r="R2521" s="351">
        <v>500</v>
      </c>
      <c r="S2521" s="933"/>
      <c r="T2521" s="933"/>
      <c r="U2521" s="933"/>
      <c r="W2521" s="42" t="s">
        <v>930</v>
      </c>
      <c r="X2521" s="16">
        <f t="shared" si="382"/>
        <v>500</v>
      </c>
      <c r="Y2521" s="16">
        <f t="shared" si="383"/>
        <v>0</v>
      </c>
    </row>
    <row r="2522" spans="1:25" s="42" customFormat="1" ht="15">
      <c r="A2522" s="740"/>
      <c r="B2522" s="101" t="s">
        <v>1561</v>
      </c>
      <c r="C2522" s="647" t="s">
        <v>1973</v>
      </c>
      <c r="D2522" s="651">
        <v>40899</v>
      </c>
      <c r="E2522" s="647"/>
      <c r="F2522" s="525" t="s">
        <v>1972</v>
      </c>
      <c r="H2522" s="283"/>
      <c r="I2522" s="283"/>
      <c r="J2522" s="532"/>
      <c r="K2522" s="283">
        <v>10000</v>
      </c>
      <c r="L2522" s="283"/>
      <c r="M2522" s="21">
        <f t="shared" si="381"/>
        <v>10000</v>
      </c>
      <c r="N2522" s="283"/>
      <c r="O2522" s="815"/>
      <c r="P2522" s="108" t="s">
        <v>103</v>
      </c>
      <c r="Q2522" s="93">
        <v>10000</v>
      </c>
      <c r="R2522" s="93">
        <v>10000</v>
      </c>
      <c r="S2522" s="1326" t="s">
        <v>6008</v>
      </c>
      <c r="T2522" s="1326"/>
      <c r="U2522" s="1326"/>
      <c r="W2522" s="42" t="s">
        <v>930</v>
      </c>
      <c r="X2522" s="16">
        <f t="shared" si="382"/>
        <v>10000</v>
      </c>
      <c r="Y2522" s="16">
        <f t="shared" si="383"/>
        <v>0</v>
      </c>
    </row>
    <row r="2523" spans="1:25" s="42" customFormat="1" ht="15">
      <c r="A2523" s="740"/>
      <c r="B2523" s="446" t="s">
        <v>1591</v>
      </c>
      <c r="C2523" s="649" t="s">
        <v>1975</v>
      </c>
      <c r="D2523" s="531">
        <v>40899</v>
      </c>
      <c r="E2523" s="647"/>
      <c r="F2523" s="42" t="s">
        <v>1974</v>
      </c>
      <c r="H2523" s="283"/>
      <c r="I2523" s="283"/>
      <c r="J2523" s="532"/>
      <c r="K2523" s="283">
        <v>10000</v>
      </c>
      <c r="L2523" s="283"/>
      <c r="M2523" s="283">
        <f t="shared" si="381"/>
        <v>10000</v>
      </c>
      <c r="N2523" s="283"/>
      <c r="O2523" s="815"/>
      <c r="P2523" s="108" t="s">
        <v>103</v>
      </c>
      <c r="Q2523" s="351">
        <v>10000</v>
      </c>
      <c r="R2523" s="351">
        <v>10000</v>
      </c>
      <c r="S2523" s="933"/>
      <c r="T2523" s="933"/>
      <c r="U2523" s="933"/>
      <c r="W2523" s="42" t="s">
        <v>930</v>
      </c>
      <c r="X2523" s="16">
        <f t="shared" si="382"/>
        <v>10000</v>
      </c>
      <c r="Y2523" s="16">
        <f t="shared" si="383"/>
        <v>0</v>
      </c>
    </row>
    <row r="2524" spans="1:25" s="42" customFormat="1" ht="15">
      <c r="A2524" s="740"/>
      <c r="B2524" s="446" t="s">
        <v>1616</v>
      </c>
      <c r="C2524" s="649" t="s">
        <v>1977</v>
      </c>
      <c r="D2524" s="531">
        <v>40899</v>
      </c>
      <c r="E2524" s="647"/>
      <c r="F2524" s="42" t="s">
        <v>1976</v>
      </c>
      <c r="H2524" s="283"/>
      <c r="I2524" s="283"/>
      <c r="J2524" s="532"/>
      <c r="K2524" s="283">
        <v>2500</v>
      </c>
      <c r="L2524" s="283"/>
      <c r="M2524" s="283">
        <f t="shared" si="381"/>
        <v>2500</v>
      </c>
      <c r="N2524" s="283"/>
      <c r="O2524" s="815"/>
      <c r="P2524" s="108" t="s">
        <v>103</v>
      </c>
      <c r="Q2524" s="351">
        <v>2500</v>
      </c>
      <c r="R2524" s="351">
        <v>2500</v>
      </c>
      <c r="S2524" s="933"/>
      <c r="T2524" s="933"/>
      <c r="U2524" s="933"/>
      <c r="W2524" s="42" t="s">
        <v>930</v>
      </c>
      <c r="X2524" s="16">
        <f t="shared" si="382"/>
        <v>2500</v>
      </c>
      <c r="Y2524" s="16">
        <f t="shared" si="383"/>
        <v>0</v>
      </c>
    </row>
    <row r="2525" spans="1:25" s="42" customFormat="1" ht="15">
      <c r="A2525" s="740"/>
      <c r="B2525" s="446" t="s">
        <v>1639</v>
      </c>
      <c r="C2525" s="649" t="s">
        <v>1978</v>
      </c>
      <c r="D2525" s="531">
        <v>40899</v>
      </c>
      <c r="E2525" s="647"/>
      <c r="F2525" s="42" t="s">
        <v>1938</v>
      </c>
      <c r="H2525" s="283"/>
      <c r="I2525" s="283"/>
      <c r="J2525" s="532"/>
      <c r="K2525" s="283">
        <v>5000</v>
      </c>
      <c r="L2525" s="283"/>
      <c r="M2525" s="283">
        <f t="shared" si="381"/>
        <v>5000</v>
      </c>
      <c r="N2525" s="283"/>
      <c r="O2525" s="815"/>
      <c r="P2525" s="108" t="s">
        <v>103</v>
      </c>
      <c r="Q2525" s="351">
        <v>5000</v>
      </c>
      <c r="R2525" s="351">
        <v>5000</v>
      </c>
      <c r="S2525" s="933"/>
      <c r="T2525" s="933"/>
      <c r="U2525" s="933"/>
      <c r="W2525" s="42" t="s">
        <v>930</v>
      </c>
      <c r="X2525" s="16">
        <f t="shared" si="382"/>
        <v>5000</v>
      </c>
      <c r="Y2525" s="16">
        <f t="shared" si="383"/>
        <v>0</v>
      </c>
    </row>
    <row r="2526" spans="1:25" s="42" customFormat="1" ht="15">
      <c r="A2526" s="740"/>
      <c r="B2526" s="446" t="s">
        <v>1675</v>
      </c>
      <c r="C2526" s="649" t="s">
        <v>1979</v>
      </c>
      <c r="D2526" s="531">
        <v>40899</v>
      </c>
      <c r="E2526" s="647"/>
      <c r="F2526" s="42" t="s">
        <v>1965</v>
      </c>
      <c r="H2526" s="283"/>
      <c r="I2526" s="283"/>
      <c r="J2526" s="532"/>
      <c r="K2526" s="283">
        <v>10000</v>
      </c>
      <c r="L2526" s="283"/>
      <c r="M2526" s="283">
        <f t="shared" si="381"/>
        <v>10000</v>
      </c>
      <c r="N2526" s="283"/>
      <c r="O2526" s="815"/>
      <c r="P2526" s="108" t="s">
        <v>103</v>
      </c>
      <c r="Q2526" s="351">
        <v>10000</v>
      </c>
      <c r="R2526" s="351">
        <v>10000</v>
      </c>
      <c r="S2526" s="933"/>
      <c r="T2526" s="933"/>
      <c r="U2526" s="933"/>
      <c r="W2526" s="42" t="s">
        <v>930</v>
      </c>
      <c r="X2526" s="16">
        <f t="shared" si="382"/>
        <v>10000</v>
      </c>
      <c r="Y2526" s="16">
        <f t="shared" si="383"/>
        <v>0</v>
      </c>
    </row>
    <row r="2527" spans="1:25" s="42" customFormat="1" ht="15">
      <c r="A2527" s="740"/>
      <c r="B2527" s="446"/>
      <c r="C2527" s="649"/>
      <c r="D2527" s="531"/>
      <c r="E2527" s="647"/>
      <c r="H2527" s="283"/>
      <c r="I2527" s="283"/>
      <c r="J2527" s="532"/>
      <c r="K2527" s="283"/>
      <c r="L2527" s="283"/>
      <c r="M2527" s="283"/>
      <c r="N2527" s="283"/>
      <c r="O2527" s="815"/>
      <c r="P2527" s="108"/>
      <c r="Q2527" s="351"/>
      <c r="R2527" s="351"/>
      <c r="S2527" s="933"/>
      <c r="T2527" s="933"/>
      <c r="U2527" s="933"/>
      <c r="X2527" s="16"/>
      <c r="Y2527" s="16"/>
    </row>
    <row r="2528" spans="1:25" s="42" customFormat="1" ht="15">
      <c r="A2528" s="740"/>
      <c r="B2528" s="446" t="s">
        <v>1607</v>
      </c>
      <c r="C2528" s="649" t="s">
        <v>1980</v>
      </c>
      <c r="D2528" s="531">
        <v>40899</v>
      </c>
      <c r="E2528" s="647"/>
      <c r="F2528" s="42" t="s">
        <v>1696</v>
      </c>
      <c r="H2528" s="283"/>
      <c r="I2528" s="283"/>
      <c r="J2528" s="532"/>
      <c r="K2528" s="283">
        <v>6000</v>
      </c>
      <c r="L2528" s="283"/>
      <c r="M2528" s="283">
        <f t="shared" si="381"/>
        <v>6000</v>
      </c>
      <c r="N2528" s="283"/>
      <c r="O2528" s="815"/>
      <c r="P2528" s="108" t="s">
        <v>103</v>
      </c>
      <c r="Q2528" s="522">
        <f>SUM(Q2529:Q2530)</f>
        <v>6000</v>
      </c>
      <c r="R2528" s="522">
        <f>SUM(R2529:R2530)</f>
        <v>5997</v>
      </c>
      <c r="S2528" s="933"/>
      <c r="T2528" s="933"/>
      <c r="U2528" s="933"/>
      <c r="W2528" s="42" t="s">
        <v>930</v>
      </c>
      <c r="X2528" s="16">
        <f t="shared" si="382"/>
        <v>6000</v>
      </c>
      <c r="Y2528" s="16">
        <f t="shared" si="383"/>
        <v>0</v>
      </c>
    </row>
    <row r="2529" spans="1:25" s="42" customFormat="1" ht="15">
      <c r="A2529" s="740"/>
      <c r="B2529" s="42" t="s">
        <v>5681</v>
      </c>
      <c r="C2529" s="649"/>
      <c r="D2529" s="531"/>
      <c r="E2529" s="647"/>
      <c r="H2529" s="283"/>
      <c r="I2529" s="283"/>
      <c r="J2529" s="532"/>
      <c r="K2529" s="791"/>
      <c r="L2529" s="283"/>
      <c r="M2529" s="283">
        <f t="shared" si="381"/>
        <v>0</v>
      </c>
      <c r="N2529" s="283"/>
      <c r="O2529" s="815"/>
      <c r="P2529" s="108"/>
      <c r="Q2529" s="351">
        <v>5000</v>
      </c>
      <c r="R2529" s="351">
        <v>4997</v>
      </c>
      <c r="S2529" s="933"/>
      <c r="T2529" s="933"/>
      <c r="U2529" s="933"/>
      <c r="X2529" s="16"/>
      <c r="Y2529" s="16"/>
    </row>
    <row r="2530" spans="1:25" s="42" customFormat="1" ht="15">
      <c r="A2530" s="740"/>
      <c r="B2530" s="42" t="s">
        <v>5682</v>
      </c>
      <c r="C2530" s="649"/>
      <c r="D2530" s="531"/>
      <c r="E2530" s="647"/>
      <c r="H2530" s="283"/>
      <c r="I2530" s="283"/>
      <c r="J2530" s="532"/>
      <c r="K2530" s="283"/>
      <c r="L2530" s="283"/>
      <c r="M2530" s="283">
        <f t="shared" si="381"/>
        <v>0</v>
      </c>
      <c r="N2530" s="283"/>
      <c r="O2530" s="815"/>
      <c r="P2530" s="108"/>
      <c r="Q2530" s="351">
        <v>1000</v>
      </c>
      <c r="R2530" s="351">
        <v>1000</v>
      </c>
      <c r="S2530" s="933"/>
      <c r="T2530" s="933"/>
      <c r="U2530" s="933"/>
      <c r="X2530" s="16"/>
      <c r="Y2530" s="16"/>
    </row>
    <row r="2531" spans="1:25" s="42" customFormat="1" ht="15">
      <c r="A2531" s="740"/>
      <c r="B2531" s="446" t="s">
        <v>1607</v>
      </c>
      <c r="C2531" s="649" t="s">
        <v>1982</v>
      </c>
      <c r="D2531" s="531">
        <v>40899</v>
      </c>
      <c r="E2531" s="647"/>
      <c r="F2531" s="42" t="s">
        <v>1981</v>
      </c>
      <c r="H2531" s="283"/>
      <c r="I2531" s="283"/>
      <c r="J2531" s="532"/>
      <c r="K2531" s="283">
        <v>7500</v>
      </c>
      <c r="L2531" s="283"/>
      <c r="M2531" s="283">
        <f t="shared" si="381"/>
        <v>7500</v>
      </c>
      <c r="N2531" s="283"/>
      <c r="O2531" s="815"/>
      <c r="P2531" s="108" t="s">
        <v>103</v>
      </c>
      <c r="Q2531" s="351">
        <v>7500</v>
      </c>
      <c r="R2531" s="351">
        <v>7500</v>
      </c>
      <c r="S2531" s="1337" t="s">
        <v>5500</v>
      </c>
      <c r="T2531" s="1337"/>
      <c r="U2531" s="1337"/>
      <c r="W2531" s="42" t="s">
        <v>930</v>
      </c>
      <c r="X2531" s="16">
        <f t="shared" si="382"/>
        <v>7500</v>
      </c>
      <c r="Y2531" s="16">
        <f t="shared" si="383"/>
        <v>0</v>
      </c>
    </row>
    <row r="2532" spans="1:25" s="42" customFormat="1" ht="15">
      <c r="A2532" s="740"/>
      <c r="B2532" s="446" t="s">
        <v>1648</v>
      </c>
      <c r="C2532" s="649" t="s">
        <v>1984</v>
      </c>
      <c r="D2532" s="531">
        <v>40899</v>
      </c>
      <c r="E2532" s="647"/>
      <c r="F2532" s="42" t="s">
        <v>1983</v>
      </c>
      <c r="H2532" s="283"/>
      <c r="I2532" s="283"/>
      <c r="J2532" s="532"/>
      <c r="K2532" s="283">
        <v>5000</v>
      </c>
      <c r="L2532" s="283"/>
      <c r="M2532" s="283">
        <f t="shared" si="381"/>
        <v>5000</v>
      </c>
      <c r="N2532" s="283"/>
      <c r="O2532" s="815"/>
      <c r="P2532" s="108" t="s">
        <v>103</v>
      </c>
      <c r="Q2532" s="351">
        <v>5000</v>
      </c>
      <c r="R2532" s="351">
        <v>5000</v>
      </c>
      <c r="S2532" s="933">
        <v>5000</v>
      </c>
      <c r="T2532" s="933"/>
      <c r="U2532" s="933"/>
      <c r="W2532" s="42" t="s">
        <v>930</v>
      </c>
      <c r="X2532" s="16">
        <f t="shared" si="382"/>
        <v>5000</v>
      </c>
      <c r="Y2532" s="16">
        <f t="shared" si="383"/>
        <v>0</v>
      </c>
    </row>
    <row r="2533" spans="1:25" s="42" customFormat="1" ht="15">
      <c r="A2533" s="740"/>
      <c r="B2533" s="446" t="s">
        <v>1639</v>
      </c>
      <c r="C2533" s="649" t="s">
        <v>1986</v>
      </c>
      <c r="D2533" s="531">
        <v>40899</v>
      </c>
      <c r="E2533" s="647"/>
      <c r="F2533" s="42" t="s">
        <v>1985</v>
      </c>
      <c r="H2533" s="283"/>
      <c r="I2533" s="283"/>
      <c r="J2533" s="532"/>
      <c r="K2533" s="283">
        <v>10000</v>
      </c>
      <c r="L2533" s="283"/>
      <c r="M2533" s="283">
        <f t="shared" si="381"/>
        <v>10000</v>
      </c>
      <c r="N2533" s="283"/>
      <c r="O2533" s="815"/>
      <c r="P2533" s="108" t="s">
        <v>103</v>
      </c>
      <c r="Q2533" s="351">
        <v>10000</v>
      </c>
      <c r="R2533" s="351">
        <v>10000</v>
      </c>
      <c r="S2533" s="933"/>
      <c r="T2533" s="933"/>
      <c r="U2533" s="933"/>
      <c r="W2533" s="42" t="s">
        <v>930</v>
      </c>
      <c r="X2533" s="16">
        <f t="shared" si="382"/>
        <v>10000</v>
      </c>
      <c r="Y2533" s="16">
        <f t="shared" si="383"/>
        <v>0</v>
      </c>
    </row>
    <row r="2534" spans="1:25" s="42" customFormat="1" ht="15">
      <c r="A2534" s="740"/>
      <c r="B2534" s="446" t="s">
        <v>1607</v>
      </c>
      <c r="C2534" s="649" t="s">
        <v>1988</v>
      </c>
      <c r="D2534" s="531">
        <v>40899</v>
      </c>
      <c r="E2534" s="647"/>
      <c r="F2534" s="42" t="s">
        <v>1987</v>
      </c>
      <c r="H2534" s="283"/>
      <c r="I2534" s="283"/>
      <c r="J2534" s="532"/>
      <c r="K2534" s="283">
        <v>2000</v>
      </c>
      <c r="L2534" s="283"/>
      <c r="M2534" s="283">
        <f t="shared" si="381"/>
        <v>2000</v>
      </c>
      <c r="N2534" s="283"/>
      <c r="O2534" s="815"/>
      <c r="P2534" s="108" t="s">
        <v>103</v>
      </c>
      <c r="Q2534" s="351">
        <v>2000</v>
      </c>
      <c r="R2534" s="351">
        <v>2000</v>
      </c>
      <c r="S2534" s="933"/>
      <c r="T2534" s="933"/>
      <c r="U2534" s="933"/>
      <c r="W2534" s="42" t="s">
        <v>930</v>
      </c>
      <c r="X2534" s="16">
        <f t="shared" si="382"/>
        <v>2000</v>
      </c>
      <c r="Y2534" s="16">
        <f t="shared" si="383"/>
        <v>0</v>
      </c>
    </row>
    <row r="2535" spans="1:25" s="42" customFormat="1" ht="15">
      <c r="A2535" s="740"/>
      <c r="B2535" s="446" t="s">
        <v>1678</v>
      </c>
      <c r="C2535" s="649" t="s">
        <v>1990</v>
      </c>
      <c r="D2535" s="444">
        <v>40899</v>
      </c>
      <c r="E2535" s="647"/>
      <c r="F2535" s="42" t="s">
        <v>1989</v>
      </c>
      <c r="H2535" s="283"/>
      <c r="I2535" s="283"/>
      <c r="J2535" s="445"/>
      <c r="K2535" s="283">
        <v>5000</v>
      </c>
      <c r="L2535" s="283"/>
      <c r="M2535" s="283">
        <f t="shared" si="381"/>
        <v>5000</v>
      </c>
      <c r="N2535" s="283"/>
      <c r="O2535" s="815"/>
      <c r="P2535" s="108" t="s">
        <v>103</v>
      </c>
      <c r="Q2535" s="351">
        <v>5000</v>
      </c>
      <c r="R2535" s="351">
        <v>5000</v>
      </c>
      <c r="S2535" s="933"/>
      <c r="T2535" s="933"/>
      <c r="U2535" s="933"/>
      <c r="W2535" s="42" t="s">
        <v>930</v>
      </c>
      <c r="X2535" s="16">
        <f t="shared" si="382"/>
        <v>5000</v>
      </c>
      <c r="Y2535" s="16">
        <f t="shared" si="383"/>
        <v>0</v>
      </c>
    </row>
    <row r="2536" spans="1:25" s="42" customFormat="1" ht="15">
      <c r="A2536" s="740"/>
      <c r="B2536" s="446" t="s">
        <v>1607</v>
      </c>
      <c r="C2536" s="649" t="s">
        <v>1992</v>
      </c>
      <c r="D2536" s="444">
        <v>40899</v>
      </c>
      <c r="E2536" s="647"/>
      <c r="F2536" s="42" t="s">
        <v>1991</v>
      </c>
      <c r="H2536" s="283"/>
      <c r="I2536" s="283"/>
      <c r="J2536" s="445"/>
      <c r="K2536" s="283">
        <v>10000</v>
      </c>
      <c r="L2536" s="283"/>
      <c r="M2536" s="283">
        <f t="shared" si="381"/>
        <v>10000</v>
      </c>
      <c r="N2536" s="283"/>
      <c r="O2536" s="815"/>
      <c r="P2536" s="108" t="s">
        <v>103</v>
      </c>
      <c r="Q2536" s="351">
        <v>10000</v>
      </c>
      <c r="R2536" s="351">
        <v>10000</v>
      </c>
      <c r="S2536" s="933"/>
      <c r="T2536" s="933"/>
      <c r="U2536" s="933"/>
      <c r="W2536" s="42" t="s">
        <v>930</v>
      </c>
      <c r="X2536" s="16">
        <f t="shared" si="382"/>
        <v>10000</v>
      </c>
      <c r="Y2536" s="16">
        <f t="shared" si="383"/>
        <v>0</v>
      </c>
    </row>
    <row r="2537" spans="1:25" s="42" customFormat="1" ht="15">
      <c r="A2537" s="740"/>
      <c r="B2537" s="446" t="s">
        <v>1700</v>
      </c>
      <c r="C2537" s="649" t="s">
        <v>1994</v>
      </c>
      <c r="D2537" s="444">
        <v>40899</v>
      </c>
      <c r="E2537" s="647"/>
      <c r="F2537" s="42" t="s">
        <v>1993</v>
      </c>
      <c r="H2537" s="283"/>
      <c r="I2537" s="283"/>
      <c r="J2537" s="445"/>
      <c r="K2537" s="283">
        <v>20000</v>
      </c>
      <c r="L2537" s="283"/>
      <c r="M2537" s="283">
        <f t="shared" si="381"/>
        <v>20000</v>
      </c>
      <c r="N2537" s="283"/>
      <c r="O2537" s="815"/>
      <c r="P2537" s="108" t="s">
        <v>103</v>
      </c>
      <c r="Q2537" s="351">
        <v>20000</v>
      </c>
      <c r="R2537" s="351">
        <v>20000</v>
      </c>
      <c r="S2537" s="933"/>
      <c r="T2537" s="933"/>
      <c r="U2537" s="933"/>
      <c r="W2537" s="42" t="s">
        <v>930</v>
      </c>
      <c r="X2537" s="16">
        <f t="shared" si="382"/>
        <v>20000</v>
      </c>
      <c r="Y2537" s="16">
        <f t="shared" si="383"/>
        <v>0</v>
      </c>
    </row>
    <row r="2538" spans="1:25" s="42" customFormat="1" ht="15">
      <c r="A2538" s="740"/>
      <c r="B2538" s="446" t="s">
        <v>1678</v>
      </c>
      <c r="C2538" s="649" t="s">
        <v>1996</v>
      </c>
      <c r="D2538" s="444">
        <v>40899</v>
      </c>
      <c r="E2538" s="647"/>
      <c r="F2538" s="42" t="s">
        <v>1995</v>
      </c>
      <c r="H2538" s="283"/>
      <c r="I2538" s="283"/>
      <c r="J2538" s="445"/>
      <c r="K2538" s="283">
        <v>10000</v>
      </c>
      <c r="L2538" s="283"/>
      <c r="M2538" s="283">
        <f t="shared" si="381"/>
        <v>10000</v>
      </c>
      <c r="N2538" s="283"/>
      <c r="O2538" s="815"/>
      <c r="P2538" s="108" t="s">
        <v>103</v>
      </c>
      <c r="Q2538" s="351">
        <v>10000</v>
      </c>
      <c r="R2538" s="351">
        <v>10000</v>
      </c>
      <c r="S2538" s="1067" t="s">
        <v>6135</v>
      </c>
      <c r="T2538" s="933"/>
      <c r="U2538" s="933"/>
      <c r="W2538" s="42" t="s">
        <v>930</v>
      </c>
      <c r="X2538" s="16">
        <f t="shared" si="382"/>
        <v>10000</v>
      </c>
      <c r="Y2538" s="16">
        <f t="shared" si="383"/>
        <v>0</v>
      </c>
    </row>
    <row r="2539" spans="1:25" s="42" customFormat="1" ht="15">
      <c r="A2539" s="740"/>
      <c r="B2539" s="446" t="s">
        <v>1639</v>
      </c>
      <c r="C2539" s="649" t="s">
        <v>1998</v>
      </c>
      <c r="D2539" s="444">
        <v>40899</v>
      </c>
      <c r="E2539" s="647"/>
      <c r="F2539" s="42" t="s">
        <v>1997</v>
      </c>
      <c r="H2539" s="283"/>
      <c r="I2539" s="283"/>
      <c r="J2539" s="445"/>
      <c r="K2539" s="283">
        <v>3000</v>
      </c>
      <c r="L2539" s="283"/>
      <c r="M2539" s="283">
        <f t="shared" si="381"/>
        <v>3000</v>
      </c>
      <c r="N2539" s="283"/>
      <c r="O2539" s="815"/>
      <c r="P2539" s="108" t="s">
        <v>103</v>
      </c>
      <c r="Q2539" s="351">
        <v>3000</v>
      </c>
      <c r="R2539" s="351">
        <v>3000</v>
      </c>
      <c r="S2539" s="933"/>
      <c r="T2539" s="933"/>
      <c r="U2539" s="933"/>
      <c r="W2539" s="42" t="s">
        <v>930</v>
      </c>
      <c r="X2539" s="16">
        <f t="shared" si="382"/>
        <v>3000</v>
      </c>
      <c r="Y2539" s="16">
        <f t="shared" si="383"/>
        <v>0</v>
      </c>
    </row>
    <row r="2540" spans="1:25" s="231" customFormat="1" ht="30">
      <c r="A2540" s="237"/>
      <c r="B2540" s="446" t="s">
        <v>1687</v>
      </c>
      <c r="C2540" s="649" t="s">
        <v>2000</v>
      </c>
      <c r="D2540" s="444">
        <v>40906</v>
      </c>
      <c r="E2540" s="647"/>
      <c r="F2540" s="42" t="s">
        <v>1999</v>
      </c>
      <c r="G2540" s="42"/>
      <c r="H2540" s="283"/>
      <c r="I2540" s="283"/>
      <c r="J2540" s="445"/>
      <c r="K2540" s="283">
        <v>50000</v>
      </c>
      <c r="L2540" s="283"/>
      <c r="M2540" s="283">
        <f t="shared" si="381"/>
        <v>50000</v>
      </c>
      <c r="N2540" s="283"/>
      <c r="O2540" s="1140"/>
      <c r="P2540" s="235"/>
      <c r="Q2540" s="351">
        <v>50000</v>
      </c>
      <c r="R2540" s="351">
        <v>50000</v>
      </c>
      <c r="S2540" s="1070" t="s">
        <v>6244</v>
      </c>
      <c r="T2540" s="403"/>
      <c r="U2540" s="403"/>
      <c r="X2540" s="16">
        <f t="shared" si="382"/>
        <v>50000</v>
      </c>
      <c r="Y2540" s="16">
        <f t="shared" si="383"/>
        <v>0</v>
      </c>
    </row>
    <row r="2541" spans="1:25" s="42" customFormat="1" ht="15">
      <c r="A2541" s="740"/>
      <c r="B2541" s="446" t="s">
        <v>1628</v>
      </c>
      <c r="C2541" s="164" t="s">
        <v>2341</v>
      </c>
      <c r="D2541" s="444">
        <v>40899</v>
      </c>
      <c r="E2541" s="647"/>
      <c r="F2541" s="42" t="s">
        <v>315</v>
      </c>
      <c r="H2541" s="283"/>
      <c r="I2541" s="283"/>
      <c r="K2541" s="283">
        <v>10000</v>
      </c>
      <c r="L2541" s="283"/>
      <c r="M2541" s="283">
        <f t="shared" si="381"/>
        <v>10000</v>
      </c>
      <c r="N2541" s="283"/>
      <c r="O2541" s="815"/>
      <c r="P2541" s="164" t="s">
        <v>104</v>
      </c>
      <c r="Q2541" s="522">
        <f>SUM(Q2542:Q2543)</f>
        <v>10000</v>
      </c>
      <c r="R2541" s="522">
        <f>SUM(R2542:R2543)</f>
        <v>10000</v>
      </c>
      <c r="S2541" s="933"/>
      <c r="T2541" s="933"/>
      <c r="U2541" s="933"/>
      <c r="W2541" s="42" t="s">
        <v>2002</v>
      </c>
      <c r="X2541" s="16">
        <f t="shared" si="382"/>
        <v>10000</v>
      </c>
      <c r="Y2541" s="16">
        <f t="shared" si="383"/>
        <v>0</v>
      </c>
    </row>
    <row r="2542" spans="1:25" s="42" customFormat="1" ht="15">
      <c r="A2542" s="740"/>
      <c r="B2542" s="530" t="s">
        <v>2342</v>
      </c>
      <c r="C2542" s="164"/>
      <c r="D2542" s="444"/>
      <c r="E2542" s="329"/>
      <c r="H2542" s="283"/>
      <c r="I2542" s="283"/>
      <c r="K2542" s="283"/>
      <c r="L2542" s="283"/>
      <c r="M2542" s="283"/>
      <c r="N2542" s="283"/>
      <c r="O2542" s="815"/>
      <c r="P2542" s="164"/>
      <c r="Q2542" s="351">
        <v>5000</v>
      </c>
      <c r="R2542" s="351">
        <v>5000</v>
      </c>
      <c r="S2542" s="933"/>
      <c r="T2542" s="933"/>
      <c r="U2542" s="933"/>
      <c r="X2542" s="16"/>
      <c r="Y2542" s="16"/>
    </row>
    <row r="2543" spans="1:25" s="42" customFormat="1" ht="15">
      <c r="A2543" s="740"/>
      <c r="B2543" s="530" t="s">
        <v>2024</v>
      </c>
      <c r="C2543" s="164"/>
      <c r="D2543" s="444"/>
      <c r="E2543" s="329"/>
      <c r="H2543" s="283"/>
      <c r="I2543" s="283"/>
      <c r="K2543" s="283"/>
      <c r="L2543" s="283"/>
      <c r="M2543" s="283"/>
      <c r="N2543" s="283"/>
      <c r="O2543" s="815"/>
      <c r="P2543" s="164"/>
      <c r="Q2543" s="351">
        <v>5000</v>
      </c>
      <c r="R2543" s="351">
        <v>5000</v>
      </c>
      <c r="S2543" s="933"/>
      <c r="T2543" s="933"/>
      <c r="U2543" s="933"/>
      <c r="X2543" s="16"/>
      <c r="Y2543" s="16"/>
    </row>
    <row r="2544" spans="1:25" s="42" customFormat="1" ht="15">
      <c r="A2544" s="740"/>
      <c r="B2544" s="446"/>
      <c r="C2544" s="164"/>
      <c r="D2544" s="444"/>
      <c r="E2544" s="647"/>
      <c r="H2544" s="283"/>
      <c r="I2544" s="283"/>
      <c r="K2544" s="283"/>
      <c r="L2544" s="283"/>
      <c r="M2544" s="283"/>
      <c r="N2544" s="283"/>
      <c r="O2544" s="815"/>
      <c r="P2544" s="164"/>
      <c r="Q2544" s="351"/>
      <c r="R2544" s="351"/>
      <c r="S2544" s="933"/>
      <c r="T2544" s="933"/>
      <c r="U2544" s="933"/>
      <c r="X2544" s="16"/>
      <c r="Y2544" s="16"/>
    </row>
    <row r="2545" spans="1:25" s="42" customFormat="1" ht="15">
      <c r="A2545" s="740"/>
      <c r="B2545" s="446" t="s">
        <v>1561</v>
      </c>
      <c r="C2545" s="164" t="s">
        <v>2343</v>
      </c>
      <c r="D2545" s="444">
        <v>40899</v>
      </c>
      <c r="E2545" s="647"/>
      <c r="F2545" s="42" t="s">
        <v>315</v>
      </c>
      <c r="H2545" s="283"/>
      <c r="I2545" s="283"/>
      <c r="K2545" s="283">
        <v>15000</v>
      </c>
      <c r="L2545" s="283"/>
      <c r="M2545" s="283">
        <f t="shared" ref="M2545" si="384">SUM(K2545:L2545)</f>
        <v>15000</v>
      </c>
      <c r="N2545" s="283"/>
      <c r="O2545" s="815"/>
      <c r="P2545" s="164" t="s">
        <v>104</v>
      </c>
      <c r="Q2545" s="522">
        <f>SUM(Q2546:Q2549)</f>
        <v>15000</v>
      </c>
      <c r="R2545" s="522">
        <f>SUM(R2546:R2549)</f>
        <v>15000</v>
      </c>
      <c r="S2545" s="933"/>
      <c r="T2545" s="933"/>
      <c r="U2545" s="933"/>
      <c r="W2545" s="42" t="s">
        <v>2002</v>
      </c>
      <c r="X2545" s="16">
        <f t="shared" ref="X2545" si="385">SUM(J2545:L2545)</f>
        <v>15000</v>
      </c>
      <c r="Y2545" s="16">
        <f>X2545-M2545</f>
        <v>0</v>
      </c>
    </row>
    <row r="2546" spans="1:25" s="42" customFormat="1" ht="15">
      <c r="A2546" s="740"/>
      <c r="B2546" s="1184" t="s">
        <v>2344</v>
      </c>
      <c r="C2546" s="164"/>
      <c r="D2546" s="444"/>
      <c r="E2546" s="329"/>
      <c r="H2546" s="283"/>
      <c r="I2546" s="283"/>
      <c r="K2546" s="283"/>
      <c r="L2546" s="283"/>
      <c r="M2546" s="283"/>
      <c r="N2546" s="283"/>
      <c r="O2546" s="815"/>
      <c r="P2546" s="164"/>
      <c r="Q2546" s="529">
        <v>5000</v>
      </c>
      <c r="R2546" s="529">
        <v>5000</v>
      </c>
      <c r="S2546" s="933"/>
      <c r="T2546" s="933"/>
      <c r="U2546" s="933"/>
      <c r="X2546" s="16"/>
      <c r="Y2546" s="16"/>
    </row>
    <row r="2547" spans="1:25" s="42" customFormat="1" ht="15">
      <c r="A2547" s="740"/>
      <c r="B2547" s="1184" t="s">
        <v>2345</v>
      </c>
      <c r="C2547" s="164"/>
      <c r="D2547" s="444"/>
      <c r="E2547" s="329"/>
      <c r="H2547" s="283"/>
      <c r="I2547" s="283"/>
      <c r="K2547" s="283"/>
      <c r="L2547" s="283"/>
      <c r="M2547" s="283"/>
      <c r="N2547" s="283"/>
      <c r="O2547" s="815"/>
      <c r="P2547" s="164"/>
      <c r="Q2547" s="529">
        <v>5000</v>
      </c>
      <c r="R2547" s="529">
        <v>5000</v>
      </c>
      <c r="S2547" s="933"/>
      <c r="T2547" s="933"/>
      <c r="U2547" s="933"/>
      <c r="X2547" s="16"/>
      <c r="Y2547" s="16"/>
    </row>
    <row r="2548" spans="1:25" s="42" customFormat="1" ht="30" customHeight="1">
      <c r="A2548" s="740"/>
      <c r="B2548" s="534" t="s">
        <v>315</v>
      </c>
      <c r="C2548" s="164"/>
      <c r="D2548" s="444"/>
      <c r="E2548" s="108"/>
      <c r="H2548" s="283"/>
      <c r="I2548" s="283"/>
      <c r="K2548" s="283"/>
      <c r="L2548" s="283"/>
      <c r="M2548" s="283"/>
      <c r="N2548" s="283"/>
      <c r="O2548" s="815"/>
      <c r="P2548" s="164"/>
      <c r="Q2548" s="529">
        <v>3000</v>
      </c>
      <c r="R2548" s="529">
        <v>3000</v>
      </c>
      <c r="S2548" s="1324" t="s">
        <v>6009</v>
      </c>
      <c r="T2548" s="1324"/>
      <c r="U2548" s="1324"/>
      <c r="X2548" s="16"/>
      <c r="Y2548" s="16"/>
    </row>
    <row r="2549" spans="1:25" s="42" customFormat="1" ht="30" customHeight="1">
      <c r="A2549" s="740"/>
      <c r="B2549" s="446"/>
      <c r="C2549" s="164"/>
      <c r="D2549" s="444"/>
      <c r="E2549" s="647"/>
      <c r="H2549" s="283"/>
      <c r="I2549" s="283"/>
      <c r="K2549" s="283"/>
      <c r="L2549" s="283"/>
      <c r="M2549" s="283"/>
      <c r="N2549" s="283"/>
      <c r="O2549" s="815"/>
      <c r="P2549" s="164"/>
      <c r="Q2549" s="356">
        <v>2000</v>
      </c>
      <c r="R2549" s="356">
        <v>2000</v>
      </c>
      <c r="S2549" s="1324" t="s">
        <v>6010</v>
      </c>
      <c r="T2549" s="1324"/>
      <c r="U2549" s="1324"/>
      <c r="X2549" s="16"/>
      <c r="Y2549" s="16"/>
    </row>
    <row r="2550" spans="1:25" s="42" customFormat="1" ht="15">
      <c r="A2550" s="740"/>
      <c r="B2550" s="446"/>
      <c r="C2550" s="164"/>
      <c r="D2550" s="444"/>
      <c r="E2550" s="647"/>
      <c r="H2550" s="283"/>
      <c r="I2550" s="283"/>
      <c r="K2550" s="283"/>
      <c r="L2550" s="283"/>
      <c r="M2550" s="283"/>
      <c r="N2550" s="283"/>
      <c r="O2550" s="815"/>
      <c r="P2550" s="164"/>
      <c r="Q2550" s="351"/>
      <c r="R2550" s="351"/>
      <c r="S2550" s="933"/>
      <c r="T2550" s="933"/>
      <c r="U2550" s="933"/>
      <c r="X2550" s="16"/>
      <c r="Y2550" s="16"/>
    </row>
    <row r="2551" spans="1:25" s="42" customFormat="1" ht="15">
      <c r="A2551" s="740"/>
      <c r="B2551" s="446" t="s">
        <v>1678</v>
      </c>
      <c r="C2551" s="164" t="s">
        <v>2346</v>
      </c>
      <c r="D2551" s="444">
        <v>40899</v>
      </c>
      <c r="E2551" s="647"/>
      <c r="F2551" s="42" t="s">
        <v>315</v>
      </c>
      <c r="H2551" s="283"/>
      <c r="I2551" s="283"/>
      <c r="K2551" s="283">
        <v>10000</v>
      </c>
      <c r="L2551" s="283"/>
      <c r="M2551" s="283">
        <f>SUM(K2551:L2551)</f>
        <v>10000</v>
      </c>
      <c r="N2551" s="283"/>
      <c r="O2551" s="815"/>
      <c r="P2551" s="164" t="s">
        <v>104</v>
      </c>
      <c r="Q2551" s="522">
        <f>SUM(Q2552:Q2553)</f>
        <v>10000</v>
      </c>
      <c r="R2551" s="522">
        <f>SUM(R2552:R2553)</f>
        <v>10000</v>
      </c>
      <c r="S2551" s="1067" t="s">
        <v>6136</v>
      </c>
      <c r="T2551" s="933"/>
      <c r="U2551" s="933"/>
      <c r="W2551" s="42" t="s">
        <v>2002</v>
      </c>
      <c r="X2551" s="16">
        <f t="shared" ref="X2551:X2560" si="386">SUM(J2551:L2551)</f>
        <v>10000</v>
      </c>
      <c r="Y2551" s="16">
        <f>X2551-M2551</f>
        <v>0</v>
      </c>
    </row>
    <row r="2552" spans="1:25" s="42" customFormat="1" ht="30" customHeight="1">
      <c r="A2552" s="740"/>
      <c r="B2552" s="101" t="s">
        <v>5134</v>
      </c>
      <c r="C2552" s="164"/>
      <c r="D2552" s="444"/>
      <c r="E2552" s="647"/>
      <c r="H2552" s="283"/>
      <c r="I2552" s="283"/>
      <c r="K2552" s="791"/>
      <c r="L2552" s="283"/>
      <c r="M2552" s="283">
        <f>SUM(K2552:L2552)</f>
        <v>0</v>
      </c>
      <c r="N2552" s="283"/>
      <c r="O2552" s="815"/>
      <c r="P2552" s="164"/>
      <c r="Q2552" s="93">
        <v>5000</v>
      </c>
      <c r="R2552" s="93">
        <v>5000</v>
      </c>
      <c r="S2552" s="1326" t="s">
        <v>5136</v>
      </c>
      <c r="T2552" s="1326"/>
      <c r="U2552" s="1326"/>
      <c r="X2552" s="16"/>
      <c r="Y2552" s="16"/>
    </row>
    <row r="2553" spans="1:25" s="42" customFormat="1" ht="30" customHeight="1">
      <c r="A2553" s="740"/>
      <c r="B2553" s="101" t="s">
        <v>5135</v>
      </c>
      <c r="C2553" s="164"/>
      <c r="D2553" s="444"/>
      <c r="E2553" s="647"/>
      <c r="H2553" s="283"/>
      <c r="I2553" s="283"/>
      <c r="K2553" s="791"/>
      <c r="L2553" s="283"/>
      <c r="M2553" s="283">
        <f>SUM(K2553:L2553)</f>
        <v>0</v>
      </c>
      <c r="N2553" s="283"/>
      <c r="O2553" s="815"/>
      <c r="P2553" s="164"/>
      <c r="Q2553" s="93">
        <v>5000</v>
      </c>
      <c r="R2553" s="93">
        <v>5000</v>
      </c>
      <c r="S2553" s="1326" t="s">
        <v>5137</v>
      </c>
      <c r="T2553" s="1326"/>
      <c r="U2553" s="1326"/>
      <c r="X2553" s="16"/>
      <c r="Y2553" s="16"/>
    </row>
    <row r="2554" spans="1:25" s="42" customFormat="1" ht="15">
      <c r="A2554" s="740"/>
      <c r="B2554" s="446"/>
      <c r="C2554" s="164"/>
      <c r="D2554" s="444"/>
      <c r="E2554" s="647"/>
      <c r="H2554" s="283"/>
      <c r="I2554" s="283"/>
      <c r="K2554" s="791"/>
      <c r="L2554" s="283"/>
      <c r="M2554" s="283"/>
      <c r="N2554" s="283"/>
      <c r="O2554" s="815"/>
      <c r="P2554" s="164"/>
      <c r="Q2554" s="774"/>
      <c r="R2554" s="774"/>
      <c r="S2554" s="933"/>
      <c r="T2554" s="933"/>
      <c r="U2554" s="933"/>
      <c r="X2554" s="16"/>
      <c r="Y2554" s="16"/>
    </row>
    <row r="2555" spans="1:25" s="42" customFormat="1" ht="15">
      <c r="A2555" s="740"/>
      <c r="B2555" s="446" t="s">
        <v>1607</v>
      </c>
      <c r="C2555" s="164" t="s">
        <v>2348</v>
      </c>
      <c r="D2555" s="444">
        <v>40899</v>
      </c>
      <c r="E2555" s="647"/>
      <c r="F2555" s="42" t="s">
        <v>2347</v>
      </c>
      <c r="H2555" s="283"/>
      <c r="I2555" s="283"/>
      <c r="K2555" s="283">
        <v>5000</v>
      </c>
      <c r="L2555" s="283"/>
      <c r="M2555" s="283">
        <f t="shared" ref="M2555:M2560" si="387">SUM(K2555:L2555)</f>
        <v>5000</v>
      </c>
      <c r="N2555" s="283"/>
      <c r="O2555" s="815"/>
      <c r="P2555" s="164" t="s">
        <v>104</v>
      </c>
      <c r="Q2555" s="351">
        <v>5000</v>
      </c>
      <c r="R2555" s="351">
        <v>5000</v>
      </c>
      <c r="S2555" s="933"/>
      <c r="T2555" s="933"/>
      <c r="U2555" s="933"/>
      <c r="W2555" s="42" t="s">
        <v>2002</v>
      </c>
      <c r="X2555" s="16">
        <f t="shared" si="386"/>
        <v>5000</v>
      </c>
      <c r="Y2555" s="16">
        <f t="shared" ref="Y2555:Y2560" si="388">X2555-M2555</f>
        <v>0</v>
      </c>
    </row>
    <row r="2556" spans="1:25" s="42" customFormat="1" ht="15">
      <c r="A2556" s="740"/>
      <c r="B2556" s="446" t="s">
        <v>1616</v>
      </c>
      <c r="C2556" s="164" t="s">
        <v>2350</v>
      </c>
      <c r="D2556" s="444">
        <v>40899</v>
      </c>
      <c r="E2556" s="647"/>
      <c r="F2556" s="42" t="s">
        <v>2349</v>
      </c>
      <c r="H2556" s="283"/>
      <c r="I2556" s="283"/>
      <c r="K2556" s="283">
        <v>5000</v>
      </c>
      <c r="L2556" s="283"/>
      <c r="M2556" s="283">
        <f t="shared" si="387"/>
        <v>5000</v>
      </c>
      <c r="N2556" s="283"/>
      <c r="O2556" s="815"/>
      <c r="P2556" s="164" t="s">
        <v>104</v>
      </c>
      <c r="Q2556" s="351">
        <v>5000</v>
      </c>
      <c r="R2556" s="351">
        <v>5000</v>
      </c>
      <c r="S2556" s="933"/>
      <c r="T2556" s="933"/>
      <c r="U2556" s="933"/>
      <c r="W2556" s="42" t="s">
        <v>2002</v>
      </c>
      <c r="X2556" s="16">
        <f t="shared" si="386"/>
        <v>5000</v>
      </c>
      <c r="Y2556" s="16">
        <f t="shared" si="388"/>
        <v>0</v>
      </c>
    </row>
    <row r="2557" spans="1:25" s="42" customFormat="1" ht="15">
      <c r="A2557" s="740"/>
      <c r="B2557" s="446" t="s">
        <v>1651</v>
      </c>
      <c r="C2557" s="164" t="s">
        <v>2351</v>
      </c>
      <c r="D2557" s="444">
        <v>40899</v>
      </c>
      <c r="E2557" s="647"/>
      <c r="F2557" s="42" t="s">
        <v>315</v>
      </c>
      <c r="H2557" s="283"/>
      <c r="I2557" s="283"/>
      <c r="K2557" s="283">
        <v>10000</v>
      </c>
      <c r="L2557" s="283"/>
      <c r="M2557" s="283">
        <f t="shared" si="387"/>
        <v>10000</v>
      </c>
      <c r="N2557" s="283"/>
      <c r="O2557" s="815"/>
      <c r="P2557" s="164" t="s">
        <v>104</v>
      </c>
      <c r="Q2557" s="351">
        <v>10000</v>
      </c>
      <c r="R2557" s="351">
        <v>10000</v>
      </c>
      <c r="S2557" s="933"/>
      <c r="T2557" s="933"/>
      <c r="U2557" s="933"/>
      <c r="W2557" s="42" t="s">
        <v>2002</v>
      </c>
      <c r="X2557" s="16">
        <f t="shared" si="386"/>
        <v>10000</v>
      </c>
      <c r="Y2557" s="16">
        <f t="shared" si="388"/>
        <v>0</v>
      </c>
    </row>
    <row r="2558" spans="1:25" s="42" customFormat="1" ht="15">
      <c r="A2558" s="740"/>
      <c r="B2558" s="446" t="s">
        <v>1639</v>
      </c>
      <c r="C2558" s="164" t="s">
        <v>2353</v>
      </c>
      <c r="D2558" s="444">
        <v>40899</v>
      </c>
      <c r="E2558" s="647"/>
      <c r="F2558" s="42" t="s">
        <v>2352</v>
      </c>
      <c r="H2558" s="283"/>
      <c r="I2558" s="283"/>
      <c r="K2558" s="283">
        <v>5000</v>
      </c>
      <c r="L2558" s="283"/>
      <c r="M2558" s="283">
        <f t="shared" si="387"/>
        <v>5000</v>
      </c>
      <c r="N2558" s="283"/>
      <c r="O2558" s="815"/>
      <c r="P2558" s="164" t="s">
        <v>104</v>
      </c>
      <c r="Q2558" s="351">
        <v>5000</v>
      </c>
      <c r="R2558" s="351">
        <v>5000</v>
      </c>
      <c r="S2558" s="933"/>
      <c r="T2558" s="933"/>
      <c r="U2558" s="933"/>
      <c r="W2558" s="42" t="s">
        <v>2002</v>
      </c>
      <c r="X2558" s="16">
        <f t="shared" si="386"/>
        <v>5000</v>
      </c>
      <c r="Y2558" s="16">
        <f t="shared" si="388"/>
        <v>0</v>
      </c>
    </row>
    <row r="2559" spans="1:25" s="42" customFormat="1" ht="15">
      <c r="A2559" s="740"/>
      <c r="B2559" s="446" t="s">
        <v>1700</v>
      </c>
      <c r="C2559" s="164" t="s">
        <v>2354</v>
      </c>
      <c r="D2559" s="444">
        <v>40899</v>
      </c>
      <c r="E2559" s="647"/>
      <c r="F2559" s="42" t="s">
        <v>315</v>
      </c>
      <c r="H2559" s="283"/>
      <c r="I2559" s="283"/>
      <c r="K2559" s="283">
        <v>15000</v>
      </c>
      <c r="L2559" s="283"/>
      <c r="M2559" s="283">
        <f t="shared" si="387"/>
        <v>15000</v>
      </c>
      <c r="N2559" s="283"/>
      <c r="O2559" s="815"/>
      <c r="P2559" s="164" t="s">
        <v>104</v>
      </c>
      <c r="Q2559" s="351">
        <v>15000</v>
      </c>
      <c r="R2559" s="351">
        <v>15000</v>
      </c>
      <c r="S2559" s="933"/>
      <c r="T2559" s="933"/>
      <c r="U2559" s="933"/>
      <c r="W2559" s="42" t="s">
        <v>2002</v>
      </c>
      <c r="X2559" s="16">
        <f t="shared" si="386"/>
        <v>15000</v>
      </c>
      <c r="Y2559" s="16">
        <f t="shared" si="388"/>
        <v>0</v>
      </c>
    </row>
    <row r="2560" spans="1:25" s="42" customFormat="1" ht="15">
      <c r="A2560" s="740"/>
      <c r="B2560" s="446" t="s">
        <v>1648</v>
      </c>
      <c r="C2560" s="164" t="s">
        <v>2355</v>
      </c>
      <c r="D2560" s="444">
        <v>40899</v>
      </c>
      <c r="E2560" s="647"/>
      <c r="F2560" s="42" t="s">
        <v>315</v>
      </c>
      <c r="H2560" s="283"/>
      <c r="I2560" s="283"/>
      <c r="K2560" s="283">
        <v>15000</v>
      </c>
      <c r="L2560" s="283"/>
      <c r="M2560" s="283">
        <f t="shared" si="387"/>
        <v>15000</v>
      </c>
      <c r="N2560" s="283"/>
      <c r="O2560" s="815"/>
      <c r="P2560" s="164" t="s">
        <v>104</v>
      </c>
      <c r="Q2560" s="522">
        <f>SUM(Q2561:Q2563)</f>
        <v>15000</v>
      </c>
      <c r="R2560" s="522">
        <f>SUM(R2561:R2563)</f>
        <v>15000</v>
      </c>
      <c r="S2560" s="933"/>
      <c r="T2560" s="933"/>
      <c r="U2560" s="933"/>
      <c r="W2560" s="42" t="s">
        <v>2002</v>
      </c>
      <c r="X2560" s="16">
        <f t="shared" si="386"/>
        <v>15000</v>
      </c>
      <c r="Y2560" s="16">
        <f t="shared" si="388"/>
        <v>0</v>
      </c>
    </row>
    <row r="2561" spans="1:25" s="42" customFormat="1" ht="15">
      <c r="A2561" s="740"/>
      <c r="B2561" s="534" t="s">
        <v>2356</v>
      </c>
      <c r="C2561" s="164"/>
      <c r="D2561" s="444"/>
      <c r="E2561" s="108"/>
      <c r="H2561" s="283"/>
      <c r="I2561" s="283"/>
      <c r="K2561" s="283"/>
      <c r="L2561" s="283"/>
      <c r="M2561" s="283"/>
      <c r="N2561" s="283"/>
      <c r="O2561" s="815"/>
      <c r="P2561" s="164"/>
      <c r="Q2561" s="529">
        <v>5000</v>
      </c>
      <c r="R2561" s="529">
        <v>5000</v>
      </c>
      <c r="S2561" s="933">
        <v>4989</v>
      </c>
      <c r="T2561" s="933"/>
      <c r="U2561" s="933"/>
      <c r="X2561" s="16"/>
      <c r="Y2561" s="16"/>
    </row>
    <row r="2562" spans="1:25" s="42" customFormat="1" ht="15">
      <c r="A2562" s="740"/>
      <c r="B2562" s="534" t="s">
        <v>2357</v>
      </c>
      <c r="C2562" s="164"/>
      <c r="D2562" s="444"/>
      <c r="E2562" s="108"/>
      <c r="H2562" s="283"/>
      <c r="I2562" s="283"/>
      <c r="K2562" s="283"/>
      <c r="L2562" s="283"/>
      <c r="M2562" s="283"/>
      <c r="N2562" s="283"/>
      <c r="O2562" s="815"/>
      <c r="P2562" s="164"/>
      <c r="Q2562" s="529">
        <v>5000</v>
      </c>
      <c r="R2562" s="529">
        <v>5000</v>
      </c>
      <c r="S2562" s="933"/>
      <c r="T2562" s="933"/>
      <c r="U2562" s="933"/>
      <c r="X2562" s="16"/>
      <c r="Y2562" s="16"/>
    </row>
    <row r="2563" spans="1:25" s="42" customFormat="1" ht="15">
      <c r="A2563" s="740"/>
      <c r="B2563" s="534" t="s">
        <v>2358</v>
      </c>
      <c r="C2563" s="164"/>
      <c r="D2563" s="444"/>
      <c r="E2563" s="108"/>
      <c r="H2563" s="283"/>
      <c r="I2563" s="283"/>
      <c r="K2563" s="283"/>
      <c r="L2563" s="283"/>
      <c r="M2563" s="283"/>
      <c r="N2563" s="283"/>
      <c r="O2563" s="815"/>
      <c r="P2563" s="164"/>
      <c r="Q2563" s="529">
        <v>5000</v>
      </c>
      <c r="R2563" s="529">
        <v>5000</v>
      </c>
      <c r="S2563" s="933"/>
      <c r="T2563" s="933"/>
      <c r="U2563" s="933"/>
      <c r="X2563" s="16"/>
      <c r="Y2563" s="16"/>
    </row>
    <row r="2564" spans="1:25" s="42" customFormat="1" ht="15">
      <c r="A2564" s="740"/>
      <c r="B2564" s="446"/>
      <c r="C2564" s="164"/>
      <c r="D2564" s="444"/>
      <c r="E2564" s="647"/>
      <c r="H2564" s="283"/>
      <c r="I2564" s="283"/>
      <c r="K2564" s="283"/>
      <c r="L2564" s="283"/>
      <c r="M2564" s="283"/>
      <c r="N2564" s="283"/>
      <c r="O2564" s="815"/>
      <c r="P2564" s="164"/>
      <c r="Q2564" s="351"/>
      <c r="R2564" s="351"/>
      <c r="S2564" s="933"/>
      <c r="T2564" s="933"/>
      <c r="U2564" s="933"/>
      <c r="X2564" s="16"/>
      <c r="Y2564" s="16"/>
    </row>
    <row r="2565" spans="1:25" s="42" customFormat="1" ht="30.75" customHeight="1">
      <c r="A2565" s="740"/>
      <c r="B2565" s="446" t="s">
        <v>1600</v>
      </c>
      <c r="C2565" s="164" t="s">
        <v>2360</v>
      </c>
      <c r="D2565" s="444">
        <v>40899</v>
      </c>
      <c r="E2565" s="647"/>
      <c r="F2565" s="42" t="s">
        <v>2359</v>
      </c>
      <c r="H2565" s="283"/>
      <c r="I2565" s="283"/>
      <c r="K2565" s="283">
        <v>5000</v>
      </c>
      <c r="L2565" s="283"/>
      <c r="M2565" s="283">
        <f t="shared" ref="M2565:M2566" si="389">SUM(K2565:L2565)</f>
        <v>5000</v>
      </c>
      <c r="N2565" s="283"/>
      <c r="O2565" s="815"/>
      <c r="P2565" s="164" t="s">
        <v>104</v>
      </c>
      <c r="Q2565" s="351">
        <v>5000</v>
      </c>
      <c r="R2565" s="351">
        <v>5000</v>
      </c>
      <c r="S2565" s="1337" t="s">
        <v>2361</v>
      </c>
      <c r="T2565" s="1337"/>
      <c r="U2565" s="1337"/>
      <c r="W2565" s="42" t="s">
        <v>2002</v>
      </c>
      <c r="X2565" s="16">
        <f t="shared" ref="X2565:X2566" si="390">SUM(J2565:L2565)</f>
        <v>5000</v>
      </c>
      <c r="Y2565" s="16">
        <f>X2565-M2565</f>
        <v>0</v>
      </c>
    </row>
    <row r="2566" spans="1:25" s="42" customFormat="1" ht="15">
      <c r="A2566" s="740"/>
      <c r="B2566" s="446" t="s">
        <v>1687</v>
      </c>
      <c r="C2566" s="164" t="s">
        <v>2362</v>
      </c>
      <c r="D2566" s="444">
        <v>40899</v>
      </c>
      <c r="E2566" s="647"/>
      <c r="F2566" s="42" t="s">
        <v>315</v>
      </c>
      <c r="H2566" s="283"/>
      <c r="I2566" s="283"/>
      <c r="K2566" s="283">
        <v>25000</v>
      </c>
      <c r="L2566" s="283"/>
      <c r="M2566" s="283">
        <f t="shared" si="389"/>
        <v>25000</v>
      </c>
      <c r="N2566" s="283"/>
      <c r="O2566" s="815"/>
      <c r="P2566" s="164" t="s">
        <v>104</v>
      </c>
      <c r="Q2566" s="522">
        <f>SUM(Q2567:Q2571)</f>
        <v>25000</v>
      </c>
      <c r="R2566" s="522">
        <f>SUM(R2567:R2571)</f>
        <v>25000</v>
      </c>
      <c r="S2566" s="933"/>
      <c r="T2566" s="933"/>
      <c r="U2566" s="933"/>
      <c r="W2566" s="42" t="s">
        <v>2002</v>
      </c>
      <c r="X2566" s="16">
        <f t="shared" si="390"/>
        <v>25000</v>
      </c>
      <c r="Y2566" s="16">
        <f>X2566-M2566</f>
        <v>0</v>
      </c>
    </row>
    <row r="2567" spans="1:25" s="42" customFormat="1" ht="90">
      <c r="A2567" s="740"/>
      <c r="B2567" s="530" t="s">
        <v>2363</v>
      </c>
      <c r="C2567" s="164"/>
      <c r="D2567" s="444"/>
      <c r="E2567" s="329"/>
      <c r="H2567" s="283"/>
      <c r="I2567" s="283"/>
      <c r="K2567" s="283"/>
      <c r="L2567" s="283"/>
      <c r="M2567" s="283"/>
      <c r="N2567" s="283"/>
      <c r="O2567" s="815"/>
      <c r="P2567" s="164"/>
      <c r="Q2567" s="351">
        <v>5000</v>
      </c>
      <c r="R2567" s="351">
        <v>5000</v>
      </c>
      <c r="S2567" s="1123" t="s">
        <v>6245</v>
      </c>
      <c r="T2567" s="933"/>
      <c r="U2567" s="933"/>
      <c r="X2567" s="16"/>
      <c r="Y2567" s="16"/>
    </row>
    <row r="2568" spans="1:25" s="42" customFormat="1" ht="60">
      <c r="A2568" s="740"/>
      <c r="B2568" s="530" t="s">
        <v>2364</v>
      </c>
      <c r="C2568" s="164"/>
      <c r="D2568" s="444"/>
      <c r="E2568" s="329"/>
      <c r="H2568" s="283"/>
      <c r="I2568" s="283"/>
      <c r="K2568" s="283"/>
      <c r="L2568" s="283"/>
      <c r="M2568" s="283"/>
      <c r="N2568" s="283"/>
      <c r="O2568" s="815"/>
      <c r="P2568" s="164"/>
      <c r="Q2568" s="351">
        <v>5000</v>
      </c>
      <c r="R2568" s="351">
        <v>5000</v>
      </c>
      <c r="S2568" s="1113" t="s">
        <v>6246</v>
      </c>
      <c r="T2568" s="933"/>
      <c r="U2568" s="933"/>
      <c r="X2568" s="16"/>
      <c r="Y2568" s="16"/>
    </row>
    <row r="2569" spans="1:25" s="42" customFormat="1" ht="90">
      <c r="A2569" s="740"/>
      <c r="B2569" s="530" t="s">
        <v>2365</v>
      </c>
      <c r="C2569" s="164"/>
      <c r="D2569" s="444"/>
      <c r="E2569" s="329"/>
      <c r="H2569" s="283"/>
      <c r="I2569" s="283"/>
      <c r="K2569" s="283"/>
      <c r="L2569" s="283"/>
      <c r="M2569" s="283"/>
      <c r="N2569" s="283"/>
      <c r="O2569" s="815"/>
      <c r="P2569" s="164"/>
      <c r="Q2569" s="351">
        <v>5000</v>
      </c>
      <c r="R2569" s="351">
        <v>5000</v>
      </c>
      <c r="S2569" s="1123" t="s">
        <v>6247</v>
      </c>
      <c r="T2569" s="933"/>
      <c r="U2569" s="933"/>
      <c r="X2569" s="16"/>
      <c r="Y2569" s="16"/>
    </row>
    <row r="2570" spans="1:25" s="42" customFormat="1" ht="75">
      <c r="A2570" s="740"/>
      <c r="B2570" s="530" t="s">
        <v>2366</v>
      </c>
      <c r="C2570" s="164"/>
      <c r="D2570" s="444"/>
      <c r="E2570" s="329"/>
      <c r="H2570" s="283"/>
      <c r="I2570" s="283"/>
      <c r="K2570" s="283"/>
      <c r="L2570" s="283"/>
      <c r="M2570" s="283"/>
      <c r="N2570" s="283"/>
      <c r="O2570" s="815"/>
      <c r="P2570" s="164"/>
      <c r="Q2570" s="351">
        <v>5000</v>
      </c>
      <c r="R2570" s="351">
        <v>5000</v>
      </c>
      <c r="S2570" s="1113" t="s">
        <v>6248</v>
      </c>
      <c r="T2570" s="933"/>
      <c r="U2570" s="933"/>
      <c r="X2570" s="16"/>
      <c r="Y2570" s="16"/>
    </row>
    <row r="2571" spans="1:25" s="42" customFormat="1" ht="60">
      <c r="A2571" s="740"/>
      <c r="B2571" s="530" t="s">
        <v>2367</v>
      </c>
      <c r="C2571" s="164"/>
      <c r="D2571" s="444"/>
      <c r="E2571" s="329"/>
      <c r="H2571" s="283"/>
      <c r="I2571" s="283"/>
      <c r="K2571" s="283"/>
      <c r="L2571" s="283"/>
      <c r="M2571" s="283"/>
      <c r="N2571" s="283"/>
      <c r="O2571" s="815"/>
      <c r="P2571" s="164"/>
      <c r="Q2571" s="351">
        <v>5000</v>
      </c>
      <c r="R2571" s="351">
        <v>5000</v>
      </c>
      <c r="S2571" s="933" t="s">
        <v>6249</v>
      </c>
      <c r="T2571" s="933"/>
      <c r="U2571" s="933"/>
      <c r="X2571" s="16"/>
      <c r="Y2571" s="16"/>
    </row>
    <row r="2572" spans="1:25" s="42" customFormat="1" ht="15">
      <c r="A2572" s="740"/>
      <c r="B2572" s="446"/>
      <c r="C2572" s="164"/>
      <c r="D2572" s="444"/>
      <c r="E2572" s="647"/>
      <c r="H2572" s="283"/>
      <c r="I2572" s="283"/>
      <c r="K2572" s="283"/>
      <c r="L2572" s="283"/>
      <c r="M2572" s="283"/>
      <c r="N2572" s="283"/>
      <c r="O2572" s="815"/>
      <c r="P2572" s="164"/>
      <c r="Q2572" s="351"/>
      <c r="R2572" s="351"/>
      <c r="S2572" s="933"/>
      <c r="T2572" s="933"/>
      <c r="U2572" s="933"/>
      <c r="X2572" s="16"/>
      <c r="Y2572" s="16"/>
    </row>
    <row r="2573" spans="1:25" s="42" customFormat="1" ht="15">
      <c r="A2573" s="740"/>
      <c r="B2573" s="446" t="s">
        <v>1642</v>
      </c>
      <c r="C2573" s="164" t="s">
        <v>2368</v>
      </c>
      <c r="D2573" s="444">
        <v>40899</v>
      </c>
      <c r="E2573" s="647"/>
      <c r="F2573" s="42" t="s">
        <v>1960</v>
      </c>
      <c r="H2573" s="283"/>
      <c r="I2573" s="283"/>
      <c r="K2573" s="283">
        <v>10000</v>
      </c>
      <c r="L2573" s="283"/>
      <c r="M2573" s="283">
        <f t="shared" ref="M2573:M2574" si="391">SUM(K2573:L2573)</f>
        <v>10000</v>
      </c>
      <c r="N2573" s="283"/>
      <c r="O2573" s="815"/>
      <c r="P2573" s="164" t="s">
        <v>104</v>
      </c>
      <c r="Q2573" s="351">
        <v>10000</v>
      </c>
      <c r="R2573" s="351">
        <v>10000</v>
      </c>
      <c r="S2573" s="933"/>
      <c r="T2573" s="933"/>
      <c r="U2573" s="933"/>
      <c r="W2573" s="42" t="s">
        <v>2002</v>
      </c>
      <c r="X2573" s="16">
        <f t="shared" ref="X2573:X2574" si="392">SUM(J2573:L2573)</f>
        <v>10000</v>
      </c>
      <c r="Y2573" s="16">
        <f>X2573-M2573</f>
        <v>0</v>
      </c>
    </row>
    <row r="2574" spans="1:25" s="42" customFormat="1" ht="63.75" customHeight="1">
      <c r="A2574" s="740"/>
      <c r="B2574" s="101" t="s">
        <v>1672</v>
      </c>
      <c r="C2574" s="108" t="s">
        <v>2370</v>
      </c>
      <c r="D2574" s="527">
        <v>40899</v>
      </c>
      <c r="E2574" s="647"/>
      <c r="F2574" s="525" t="s">
        <v>2369</v>
      </c>
      <c r="G2574" s="525"/>
      <c r="H2574" s="21"/>
      <c r="I2574" s="21"/>
      <c r="J2574" s="525"/>
      <c r="K2574" s="21">
        <v>5000</v>
      </c>
      <c r="L2574" s="21"/>
      <c r="M2574" s="21">
        <f t="shared" si="391"/>
        <v>5000</v>
      </c>
      <c r="N2574" s="21"/>
      <c r="O2574" s="58"/>
      <c r="P2574" s="108" t="s">
        <v>104</v>
      </c>
      <c r="Q2574" s="93">
        <v>5000</v>
      </c>
      <c r="R2574" s="93">
        <v>5000</v>
      </c>
      <c r="S2574" s="1346" t="s">
        <v>4632</v>
      </c>
      <c r="T2574" s="1346"/>
      <c r="U2574" s="1346"/>
      <c r="V2574" s="525"/>
      <c r="W2574" s="525" t="s">
        <v>2002</v>
      </c>
      <c r="X2574" s="16">
        <f t="shared" si="392"/>
        <v>5000</v>
      </c>
      <c r="Y2574" s="16">
        <f>X2574-M2574</f>
        <v>0</v>
      </c>
    </row>
    <row r="2575" spans="1:25" s="39" customFormat="1" ht="15.95" customHeight="1">
      <c r="B2575" s="21"/>
      <c r="C2575" s="23"/>
      <c r="D2575" s="380"/>
      <c r="E2575" s="23"/>
      <c r="F2575" s="22"/>
      <c r="G2575" s="22"/>
      <c r="H2575" s="22"/>
      <c r="I2575" s="22"/>
      <c r="J2575" s="22"/>
      <c r="K2575" s="22"/>
      <c r="L2575" s="22"/>
      <c r="M2575" s="22"/>
      <c r="N2575" s="22"/>
      <c r="O2575" s="23"/>
      <c r="P2575" s="165"/>
      <c r="Q2575" s="216"/>
      <c r="R2575" s="216"/>
      <c r="S2575" s="877"/>
      <c r="T2575" s="877"/>
      <c r="U2575" s="877"/>
      <c r="V2575" s="22"/>
      <c r="X2575" s="16"/>
      <c r="Y2575" s="16"/>
    </row>
    <row r="2576" spans="1:25" s="39" customFormat="1" ht="15.95" customHeight="1">
      <c r="B2576" s="35" t="s">
        <v>2515</v>
      </c>
      <c r="C2576" s="23"/>
      <c r="D2576" s="380"/>
      <c r="E2576" s="23"/>
      <c r="F2576" s="22"/>
      <c r="G2576" s="22"/>
      <c r="H2576" s="22"/>
      <c r="I2576" s="22"/>
      <c r="J2576" s="22"/>
      <c r="K2576" s="22"/>
      <c r="L2576" s="22"/>
      <c r="M2576" s="36">
        <f>SUM(M2577:M2801)</f>
        <v>660897.78</v>
      </c>
      <c r="N2576" s="22"/>
      <c r="O2576" s="23"/>
      <c r="P2576" s="165"/>
      <c r="Q2576" s="36">
        <f>SUM(Q2577:Q2608)+SUM(Q2613:Q2626)+SUM(Q2649:Q2655)+SUM(Q2660:Q2690)+SUM(Q2695:Q2700)+SUM(Q2704:Q2716)+Q2720+SUM(Q2724:Q2758)+Q2776+Q2799+Q2800+Q2801</f>
        <v>701427.78</v>
      </c>
      <c r="R2576" s="36">
        <f>SUM(R2577:R2608)+SUM(R2613:R2626)+SUM(R2649:R2655)+SUM(R2660:R2690)+SUM(R2695:R2700)+SUM(R2704:R2716)+R2720+SUM(R2724:R2758)+R2776+R2799+R2800+R2801</f>
        <v>701423.78</v>
      </c>
      <c r="S2576" s="877"/>
      <c r="T2576" s="877"/>
      <c r="U2576" s="877"/>
      <c r="V2576" s="22"/>
      <c r="X2576" s="16"/>
      <c r="Y2576" s="16"/>
    </row>
    <row r="2577" spans="1:25" s="709" customFormat="1" ht="16.5">
      <c r="A2577" s="741"/>
      <c r="B2577" s="545" t="s">
        <v>331</v>
      </c>
      <c r="C2577" s="164" t="s">
        <v>2517</v>
      </c>
      <c r="D2577" s="444">
        <v>40924</v>
      </c>
      <c r="E2577" s="647"/>
      <c r="F2577" s="42" t="s">
        <v>2516</v>
      </c>
      <c r="G2577" s="42"/>
      <c r="H2577" s="283"/>
      <c r="I2577" s="283"/>
      <c r="J2577" s="42"/>
      <c r="K2577" s="283">
        <v>2000</v>
      </c>
      <c r="L2577" s="283"/>
      <c r="M2577" s="283">
        <f t="shared" ref="M2577:M2608" si="393">SUM(K2577:L2577)</f>
        <v>2000</v>
      </c>
      <c r="N2577" s="283"/>
      <c r="O2577" s="815"/>
      <c r="P2577" s="164" t="s">
        <v>103</v>
      </c>
      <c r="Q2577" s="524">
        <v>2000</v>
      </c>
      <c r="R2577" s="524">
        <v>2000</v>
      </c>
      <c r="S2577" s="933"/>
      <c r="T2577" s="933"/>
      <c r="U2577" s="933"/>
      <c r="V2577" s="532"/>
      <c r="W2577" s="42" t="s">
        <v>930</v>
      </c>
      <c r="X2577" s="16">
        <f t="shared" ref="X2577:X2608" si="394">SUM(J2577:L2577)</f>
        <v>2000</v>
      </c>
      <c r="Y2577" s="16">
        <f t="shared" ref="Y2577:Y2605" si="395">X2577-M2577</f>
        <v>0</v>
      </c>
    </row>
    <row r="2578" spans="1:25" s="709" customFormat="1" ht="16.5">
      <c r="A2578" s="741"/>
      <c r="B2578" s="545" t="s">
        <v>311</v>
      </c>
      <c r="C2578" s="164" t="s">
        <v>2519</v>
      </c>
      <c r="D2578" s="444">
        <v>40924</v>
      </c>
      <c r="E2578" s="647"/>
      <c r="F2578" s="42" t="s">
        <v>2518</v>
      </c>
      <c r="G2578" s="42"/>
      <c r="H2578" s="283"/>
      <c r="I2578" s="283"/>
      <c r="J2578" s="42"/>
      <c r="K2578" s="283">
        <v>8000</v>
      </c>
      <c r="L2578" s="283"/>
      <c r="M2578" s="283">
        <f t="shared" si="393"/>
        <v>8000</v>
      </c>
      <c r="N2578" s="283"/>
      <c r="O2578" s="815"/>
      <c r="P2578" s="164" t="s">
        <v>103</v>
      </c>
      <c r="Q2578" s="524">
        <v>8000</v>
      </c>
      <c r="R2578" s="524">
        <v>8000</v>
      </c>
      <c r="S2578" s="933"/>
      <c r="T2578" s="933"/>
      <c r="U2578" s="933"/>
      <c r="V2578" s="532"/>
      <c r="W2578" s="42" t="s">
        <v>930</v>
      </c>
      <c r="X2578" s="16">
        <f t="shared" si="394"/>
        <v>8000</v>
      </c>
      <c r="Y2578" s="16">
        <f t="shared" si="395"/>
        <v>0</v>
      </c>
    </row>
    <row r="2579" spans="1:25" s="709" customFormat="1" ht="16.5">
      <c r="A2579" s="741"/>
      <c r="B2579" s="545" t="s">
        <v>311</v>
      </c>
      <c r="C2579" s="164" t="s">
        <v>2521</v>
      </c>
      <c r="D2579" s="444">
        <v>40932</v>
      </c>
      <c r="E2579" s="647"/>
      <c r="F2579" s="42" t="s">
        <v>2520</v>
      </c>
      <c r="G2579" s="42"/>
      <c r="H2579" s="283"/>
      <c r="I2579" s="283"/>
      <c r="J2579" s="42"/>
      <c r="K2579" s="283">
        <v>5000</v>
      </c>
      <c r="L2579" s="283"/>
      <c r="M2579" s="283">
        <f t="shared" si="393"/>
        <v>5000</v>
      </c>
      <c r="N2579" s="283"/>
      <c r="O2579" s="815"/>
      <c r="P2579" s="164" t="s">
        <v>103</v>
      </c>
      <c r="Q2579" s="524">
        <v>5000</v>
      </c>
      <c r="R2579" s="524">
        <v>5000</v>
      </c>
      <c r="S2579" s="933"/>
      <c r="T2579" s="933"/>
      <c r="U2579" s="933"/>
      <c r="V2579" s="546"/>
      <c r="W2579" s="42" t="s">
        <v>930</v>
      </c>
      <c r="X2579" s="16">
        <f t="shared" si="394"/>
        <v>5000</v>
      </c>
      <c r="Y2579" s="16">
        <f t="shared" si="395"/>
        <v>0</v>
      </c>
    </row>
    <row r="2580" spans="1:25" s="709" customFormat="1" ht="16.5">
      <c r="A2580" s="741"/>
      <c r="B2580" s="545" t="s">
        <v>380</v>
      </c>
      <c r="C2580" s="164" t="s">
        <v>2523</v>
      </c>
      <c r="D2580" s="444">
        <v>40932</v>
      </c>
      <c r="E2580" s="647"/>
      <c r="F2580" s="42" t="s">
        <v>2522</v>
      </c>
      <c r="G2580" s="42"/>
      <c r="H2580" s="283"/>
      <c r="I2580" s="283"/>
      <c r="J2580" s="42"/>
      <c r="K2580" s="283">
        <v>5000</v>
      </c>
      <c r="L2580" s="283"/>
      <c r="M2580" s="283">
        <f t="shared" si="393"/>
        <v>5000</v>
      </c>
      <c r="N2580" s="283"/>
      <c r="O2580" s="815"/>
      <c r="P2580" s="164" t="s">
        <v>103</v>
      </c>
      <c r="Q2580" s="524">
        <v>5000</v>
      </c>
      <c r="R2580" s="524">
        <v>5000</v>
      </c>
      <c r="S2580" s="933">
        <v>5000</v>
      </c>
      <c r="T2580" s="933"/>
      <c r="U2580" s="933"/>
      <c r="V2580" s="532"/>
      <c r="W2580" s="42" t="s">
        <v>930</v>
      </c>
      <c r="X2580" s="16">
        <f t="shared" si="394"/>
        <v>5000</v>
      </c>
      <c r="Y2580" s="16">
        <f t="shared" si="395"/>
        <v>0</v>
      </c>
    </row>
    <row r="2581" spans="1:25" s="709" customFormat="1" ht="16.5">
      <c r="A2581" s="741"/>
      <c r="B2581" s="545" t="s">
        <v>331</v>
      </c>
      <c r="C2581" s="164" t="s">
        <v>2524</v>
      </c>
      <c r="D2581" s="444">
        <v>40934</v>
      </c>
      <c r="E2581" s="647"/>
      <c r="F2581" s="42" t="s">
        <v>2516</v>
      </c>
      <c r="G2581" s="42"/>
      <c r="H2581" s="283"/>
      <c r="I2581" s="283"/>
      <c r="J2581" s="42"/>
      <c r="K2581" s="283">
        <v>500</v>
      </c>
      <c r="L2581" s="283"/>
      <c r="M2581" s="283">
        <f t="shared" si="393"/>
        <v>500</v>
      </c>
      <c r="N2581" s="283"/>
      <c r="O2581" s="815"/>
      <c r="P2581" s="164" t="s">
        <v>103</v>
      </c>
      <c r="Q2581" s="524">
        <v>500</v>
      </c>
      <c r="R2581" s="524">
        <v>500</v>
      </c>
      <c r="S2581" s="933"/>
      <c r="T2581" s="933"/>
      <c r="U2581" s="933"/>
      <c r="V2581" s="532"/>
      <c r="W2581" s="42" t="s">
        <v>930</v>
      </c>
      <c r="X2581" s="16">
        <f t="shared" si="394"/>
        <v>500</v>
      </c>
      <c r="Y2581" s="16">
        <f t="shared" si="395"/>
        <v>0</v>
      </c>
    </row>
    <row r="2582" spans="1:25" s="709" customFormat="1" ht="16.5">
      <c r="A2582" s="741"/>
      <c r="B2582" s="545" t="s">
        <v>311</v>
      </c>
      <c r="C2582" s="164" t="s">
        <v>2526</v>
      </c>
      <c r="D2582" s="444">
        <v>40934</v>
      </c>
      <c r="E2582" s="647"/>
      <c r="F2582" s="42" t="s">
        <v>2525</v>
      </c>
      <c r="G2582" s="42"/>
      <c r="H2582" s="283"/>
      <c r="I2582" s="283"/>
      <c r="J2582" s="42"/>
      <c r="K2582" s="283">
        <v>5000</v>
      </c>
      <c r="L2582" s="283"/>
      <c r="M2582" s="283">
        <f t="shared" si="393"/>
        <v>5000</v>
      </c>
      <c r="N2582" s="283"/>
      <c r="O2582" s="815"/>
      <c r="P2582" s="164" t="s">
        <v>103</v>
      </c>
      <c r="Q2582" s="524">
        <v>5000</v>
      </c>
      <c r="R2582" s="524">
        <v>5000</v>
      </c>
      <c r="S2582" s="933"/>
      <c r="T2582" s="933"/>
      <c r="U2582" s="933"/>
      <c r="V2582" s="532"/>
      <c r="W2582" s="42" t="s">
        <v>930</v>
      </c>
      <c r="X2582" s="16">
        <f t="shared" si="394"/>
        <v>5000</v>
      </c>
      <c r="Y2582" s="16">
        <f t="shared" si="395"/>
        <v>0</v>
      </c>
    </row>
    <row r="2583" spans="1:25" s="709" customFormat="1" ht="16.5">
      <c r="A2583" s="741"/>
      <c r="B2583" s="545" t="s">
        <v>311</v>
      </c>
      <c r="C2583" s="164" t="s">
        <v>2528</v>
      </c>
      <c r="D2583" s="444">
        <v>40934</v>
      </c>
      <c r="E2583" s="647"/>
      <c r="F2583" s="42" t="s">
        <v>2527</v>
      </c>
      <c r="G2583" s="42"/>
      <c r="H2583" s="283"/>
      <c r="I2583" s="283"/>
      <c r="J2583" s="42"/>
      <c r="K2583" s="283">
        <v>70000</v>
      </c>
      <c r="L2583" s="283"/>
      <c r="M2583" s="283">
        <f t="shared" si="393"/>
        <v>70000</v>
      </c>
      <c r="N2583" s="283"/>
      <c r="O2583" s="815"/>
      <c r="P2583" s="164" t="s">
        <v>103</v>
      </c>
      <c r="Q2583" s="524">
        <v>70000</v>
      </c>
      <c r="R2583" s="524">
        <v>70000</v>
      </c>
      <c r="S2583" s="933"/>
      <c r="T2583" s="933"/>
      <c r="U2583" s="933"/>
      <c r="V2583" s="532"/>
      <c r="W2583" s="42" t="s">
        <v>930</v>
      </c>
      <c r="X2583" s="16">
        <f t="shared" si="394"/>
        <v>70000</v>
      </c>
      <c r="Y2583" s="16">
        <f t="shared" si="395"/>
        <v>0</v>
      </c>
    </row>
    <row r="2584" spans="1:25" s="709" customFormat="1" ht="16.5">
      <c r="A2584" s="741"/>
      <c r="B2584" s="545"/>
      <c r="C2584" s="164"/>
      <c r="D2584" s="444"/>
      <c r="E2584" s="647"/>
      <c r="F2584" s="42"/>
      <c r="G2584" s="42"/>
      <c r="H2584" s="283"/>
      <c r="I2584" s="283"/>
      <c r="J2584" s="42"/>
      <c r="K2584" s="283"/>
      <c r="L2584" s="283"/>
      <c r="M2584" s="283"/>
      <c r="N2584" s="283"/>
      <c r="O2584" s="815"/>
      <c r="P2584" s="164"/>
      <c r="Q2584" s="524"/>
      <c r="R2584" s="524"/>
      <c r="S2584" s="933"/>
      <c r="T2584" s="933"/>
      <c r="U2584" s="933"/>
      <c r="V2584" s="532"/>
      <c r="W2584" s="42"/>
      <c r="X2584" s="16"/>
      <c r="Y2584" s="16"/>
    </row>
    <row r="2585" spans="1:25" s="709" customFormat="1" ht="16.5">
      <c r="A2585" s="741"/>
      <c r="B2585" s="545" t="s">
        <v>314</v>
      </c>
      <c r="C2585" s="164" t="s">
        <v>2530</v>
      </c>
      <c r="D2585" s="531">
        <v>40935</v>
      </c>
      <c r="E2585" s="647"/>
      <c r="F2585" s="42" t="s">
        <v>2529</v>
      </c>
      <c r="G2585" s="42"/>
      <c r="H2585" s="283"/>
      <c r="I2585" s="283"/>
      <c r="J2585" s="42"/>
      <c r="K2585" s="283">
        <v>10000</v>
      </c>
      <c r="L2585" s="283"/>
      <c r="M2585" s="283">
        <f t="shared" si="393"/>
        <v>10000</v>
      </c>
      <c r="N2585" s="283"/>
      <c r="O2585" s="815"/>
      <c r="P2585" s="164" t="s">
        <v>103</v>
      </c>
      <c r="Q2585" s="547">
        <f>SUM(Q2586:Q2587)</f>
        <v>9990</v>
      </c>
      <c r="R2585" s="547">
        <f>SUM(R2586:R2587)</f>
        <v>9990</v>
      </c>
      <c r="S2585" s="933"/>
      <c r="T2585" s="933"/>
      <c r="U2585" s="933"/>
      <c r="V2585" s="532"/>
      <c r="W2585" s="42" t="s">
        <v>930</v>
      </c>
      <c r="X2585" s="16">
        <f t="shared" si="394"/>
        <v>10000</v>
      </c>
      <c r="Y2585" s="16">
        <f t="shared" si="395"/>
        <v>0</v>
      </c>
    </row>
    <row r="2586" spans="1:25" s="709" customFormat="1" ht="16.5">
      <c r="A2586" s="741"/>
      <c r="B2586" s="42" t="s">
        <v>5687</v>
      </c>
      <c r="C2586" s="164"/>
      <c r="D2586" s="531"/>
      <c r="E2586" s="647"/>
      <c r="F2586" s="42"/>
      <c r="G2586" s="42"/>
      <c r="H2586" s="283"/>
      <c r="I2586" s="283"/>
      <c r="J2586" s="42"/>
      <c r="K2586" s="791"/>
      <c r="L2586" s="283"/>
      <c r="M2586" s="283">
        <f t="shared" si="393"/>
        <v>0</v>
      </c>
      <c r="N2586" s="283"/>
      <c r="O2586" s="815"/>
      <c r="P2586" s="164"/>
      <c r="Q2586" s="351">
        <v>3990</v>
      </c>
      <c r="R2586" s="351">
        <v>3990</v>
      </c>
      <c r="S2586" s="933"/>
      <c r="T2586" s="933"/>
      <c r="U2586" s="933"/>
      <c r="V2586" s="532"/>
      <c r="W2586" s="42"/>
      <c r="X2586" s="16"/>
      <c r="Y2586" s="16"/>
    </row>
    <row r="2587" spans="1:25" s="709" customFormat="1" ht="16.5">
      <c r="A2587" s="741"/>
      <c r="B2587" s="42" t="s">
        <v>5688</v>
      </c>
      <c r="C2587" s="164"/>
      <c r="D2587" s="531"/>
      <c r="E2587" s="647"/>
      <c r="F2587" s="42"/>
      <c r="G2587" s="42"/>
      <c r="H2587" s="283"/>
      <c r="I2587" s="283"/>
      <c r="J2587" s="42"/>
      <c r="K2587" s="283"/>
      <c r="L2587" s="283"/>
      <c r="M2587" s="283">
        <f t="shared" si="393"/>
        <v>0</v>
      </c>
      <c r="N2587" s="283"/>
      <c r="O2587" s="815"/>
      <c r="P2587" s="164"/>
      <c r="Q2587" s="351">
        <v>6000</v>
      </c>
      <c r="R2587" s="351">
        <v>6000</v>
      </c>
      <c r="S2587" s="933"/>
      <c r="T2587" s="933"/>
      <c r="U2587" s="933"/>
      <c r="V2587" s="532"/>
      <c r="W2587" s="42"/>
      <c r="X2587" s="16"/>
      <c r="Y2587" s="16"/>
    </row>
    <row r="2588" spans="1:25" s="709" customFormat="1" ht="16.5">
      <c r="A2588" s="741"/>
      <c r="B2588" s="545" t="s">
        <v>331</v>
      </c>
      <c r="C2588" s="164" t="s">
        <v>2534</v>
      </c>
      <c r="D2588" s="444">
        <v>40939</v>
      </c>
      <c r="E2588" s="647"/>
      <c r="F2588" s="42" t="s">
        <v>2516</v>
      </c>
      <c r="G2588" s="42"/>
      <c r="H2588" s="283"/>
      <c r="I2588" s="283"/>
      <c r="J2588" s="42"/>
      <c r="K2588" s="283">
        <v>19200</v>
      </c>
      <c r="L2588" s="283"/>
      <c r="M2588" s="283">
        <f t="shared" si="393"/>
        <v>19200</v>
      </c>
      <c r="N2588" s="283"/>
      <c r="O2588" s="815"/>
      <c r="P2588" s="164" t="s">
        <v>103</v>
      </c>
      <c r="Q2588" s="524">
        <v>19200</v>
      </c>
      <c r="R2588" s="524">
        <v>19200</v>
      </c>
      <c r="S2588" s="933"/>
      <c r="T2588" s="933"/>
      <c r="U2588" s="933"/>
      <c r="V2588" s="532"/>
      <c r="W2588" s="42" t="s">
        <v>930</v>
      </c>
      <c r="X2588" s="16">
        <f t="shared" si="394"/>
        <v>19200</v>
      </c>
      <c r="Y2588" s="16">
        <f t="shared" si="395"/>
        <v>0</v>
      </c>
    </row>
    <row r="2589" spans="1:25" s="709" customFormat="1" ht="63.75" customHeight="1">
      <c r="A2589" s="741"/>
      <c r="B2589" s="553" t="s">
        <v>308</v>
      </c>
      <c r="C2589" s="108" t="s">
        <v>2535</v>
      </c>
      <c r="D2589" s="527">
        <v>40941</v>
      </c>
      <c r="E2589" s="647"/>
      <c r="F2589" s="525" t="s">
        <v>2407</v>
      </c>
      <c r="G2589" s="42"/>
      <c r="H2589" s="283"/>
      <c r="I2589" s="283"/>
      <c r="J2589" s="42"/>
      <c r="K2589" s="283">
        <v>4000</v>
      </c>
      <c r="L2589" s="283"/>
      <c r="M2589" s="21">
        <f t="shared" si="393"/>
        <v>4000</v>
      </c>
      <c r="N2589" s="21"/>
      <c r="O2589" s="58"/>
      <c r="P2589" s="108" t="s">
        <v>103</v>
      </c>
      <c r="Q2589" s="508">
        <v>4000</v>
      </c>
      <c r="R2589" s="508">
        <v>4000</v>
      </c>
      <c r="S2589" s="1346" t="s">
        <v>4632</v>
      </c>
      <c r="T2589" s="1346"/>
      <c r="U2589" s="1346"/>
      <c r="V2589" s="532"/>
      <c r="W2589" s="525" t="s">
        <v>930</v>
      </c>
      <c r="X2589" s="16">
        <f t="shared" si="394"/>
        <v>4000</v>
      </c>
      <c r="Y2589" s="16">
        <f t="shared" si="395"/>
        <v>0</v>
      </c>
    </row>
    <row r="2590" spans="1:25" s="709" customFormat="1" ht="63.75" customHeight="1">
      <c r="A2590" s="741"/>
      <c r="B2590" s="553" t="s">
        <v>308</v>
      </c>
      <c r="C2590" s="108" t="s">
        <v>2537</v>
      </c>
      <c r="D2590" s="527">
        <v>40949</v>
      </c>
      <c r="E2590" s="647"/>
      <c r="F2590" s="525" t="s">
        <v>2536</v>
      </c>
      <c r="G2590" s="42"/>
      <c r="H2590" s="283"/>
      <c r="I2590" s="283"/>
      <c r="J2590" s="42"/>
      <c r="K2590" s="283">
        <v>5000</v>
      </c>
      <c r="L2590" s="283"/>
      <c r="M2590" s="21">
        <f t="shared" si="393"/>
        <v>5000</v>
      </c>
      <c r="N2590" s="21"/>
      <c r="O2590" s="58"/>
      <c r="P2590" s="108" t="s">
        <v>103</v>
      </c>
      <c r="Q2590" s="508">
        <v>5000</v>
      </c>
      <c r="R2590" s="508">
        <v>5000</v>
      </c>
      <c r="S2590" s="1346" t="s">
        <v>4632</v>
      </c>
      <c r="T2590" s="1346"/>
      <c r="U2590" s="1346"/>
      <c r="V2590" s="532"/>
      <c r="W2590" s="525" t="s">
        <v>930</v>
      </c>
      <c r="X2590" s="16">
        <f t="shared" si="394"/>
        <v>5000</v>
      </c>
      <c r="Y2590" s="16">
        <f t="shared" si="395"/>
        <v>0</v>
      </c>
    </row>
    <row r="2591" spans="1:25" s="709" customFormat="1" ht="16.5">
      <c r="A2591" s="741"/>
      <c r="B2591" s="545" t="s">
        <v>331</v>
      </c>
      <c r="C2591" s="164" t="s">
        <v>2538</v>
      </c>
      <c r="D2591" s="444">
        <v>40956</v>
      </c>
      <c r="E2591" s="647"/>
      <c r="F2591" s="42" t="s">
        <v>1893</v>
      </c>
      <c r="G2591" s="42"/>
      <c r="H2591" s="283"/>
      <c r="I2591" s="283"/>
      <c r="J2591" s="42"/>
      <c r="K2591" s="283">
        <v>20000</v>
      </c>
      <c r="L2591" s="283"/>
      <c r="M2591" s="283">
        <f t="shared" si="393"/>
        <v>20000</v>
      </c>
      <c r="N2591" s="283"/>
      <c r="O2591" s="815"/>
      <c r="P2591" s="164" t="s">
        <v>103</v>
      </c>
      <c r="Q2591" s="524">
        <v>20000</v>
      </c>
      <c r="R2591" s="524">
        <v>20000</v>
      </c>
      <c r="S2591" s="933"/>
      <c r="T2591" s="933"/>
      <c r="U2591" s="933"/>
      <c r="V2591" s="532"/>
      <c r="W2591" s="42" t="s">
        <v>930</v>
      </c>
      <c r="X2591" s="16">
        <f t="shared" si="394"/>
        <v>20000</v>
      </c>
      <c r="Y2591" s="16">
        <f t="shared" si="395"/>
        <v>0</v>
      </c>
    </row>
    <row r="2592" spans="1:25" s="709" customFormat="1" ht="16.5">
      <c r="A2592" s="741"/>
      <c r="B2592" s="545" t="s">
        <v>304</v>
      </c>
      <c r="C2592" s="164" t="s">
        <v>2540</v>
      </c>
      <c r="D2592" s="444">
        <v>40956</v>
      </c>
      <c r="E2592" s="647"/>
      <c r="F2592" s="42" t="s">
        <v>2539</v>
      </c>
      <c r="G2592" s="42"/>
      <c r="H2592" s="283"/>
      <c r="I2592" s="283"/>
      <c r="J2592" s="42"/>
      <c r="K2592" s="283">
        <v>3000</v>
      </c>
      <c r="L2592" s="283"/>
      <c r="M2592" s="283">
        <f t="shared" si="393"/>
        <v>3000</v>
      </c>
      <c r="N2592" s="283"/>
      <c r="O2592" s="815"/>
      <c r="P2592" s="164" t="s">
        <v>103</v>
      </c>
      <c r="Q2592" s="524">
        <v>3000</v>
      </c>
      <c r="R2592" s="524">
        <v>3000</v>
      </c>
      <c r="S2592" s="933"/>
      <c r="T2592" s="933"/>
      <c r="U2592" s="933"/>
      <c r="V2592" s="532"/>
      <c r="W2592" s="42" t="s">
        <v>930</v>
      </c>
      <c r="X2592" s="16">
        <f t="shared" si="394"/>
        <v>3000</v>
      </c>
      <c r="Y2592" s="16">
        <f t="shared" si="395"/>
        <v>0</v>
      </c>
    </row>
    <row r="2593" spans="1:25" s="709" customFormat="1" ht="16.5">
      <c r="A2593" s="741"/>
      <c r="B2593" s="545" t="s">
        <v>314</v>
      </c>
      <c r="C2593" s="164" t="s">
        <v>2542</v>
      </c>
      <c r="D2593" s="444">
        <v>40956</v>
      </c>
      <c r="E2593" s="647"/>
      <c r="F2593" s="42" t="s">
        <v>2541</v>
      </c>
      <c r="G2593" s="42"/>
      <c r="H2593" s="283"/>
      <c r="I2593" s="283"/>
      <c r="J2593" s="42"/>
      <c r="K2593" s="283">
        <v>1500</v>
      </c>
      <c r="L2593" s="283"/>
      <c r="M2593" s="283">
        <f t="shared" si="393"/>
        <v>1500</v>
      </c>
      <c r="N2593" s="283"/>
      <c r="O2593" s="815"/>
      <c r="P2593" s="164" t="s">
        <v>103</v>
      </c>
      <c r="Q2593" s="524">
        <v>1500</v>
      </c>
      <c r="R2593" s="524">
        <v>1500</v>
      </c>
      <c r="S2593" s="933"/>
      <c r="T2593" s="933"/>
      <c r="U2593" s="933"/>
      <c r="V2593" s="532"/>
      <c r="W2593" s="42" t="s">
        <v>930</v>
      </c>
      <c r="X2593" s="16">
        <f t="shared" si="394"/>
        <v>1500</v>
      </c>
      <c r="Y2593" s="16">
        <f t="shared" si="395"/>
        <v>0</v>
      </c>
    </row>
    <row r="2594" spans="1:25" s="709" customFormat="1" ht="16.5">
      <c r="A2594" s="741"/>
      <c r="B2594" s="545" t="s">
        <v>319</v>
      </c>
      <c r="C2594" s="164" t="s">
        <v>2544</v>
      </c>
      <c r="D2594" s="444">
        <v>40956</v>
      </c>
      <c r="E2594" s="647"/>
      <c r="F2594" s="42" t="s">
        <v>2543</v>
      </c>
      <c r="G2594" s="42"/>
      <c r="H2594" s="283"/>
      <c r="I2594" s="283"/>
      <c r="J2594" s="42"/>
      <c r="K2594" s="283">
        <v>1000</v>
      </c>
      <c r="L2594" s="283"/>
      <c r="M2594" s="283">
        <f t="shared" si="393"/>
        <v>1000</v>
      </c>
      <c r="N2594" s="283"/>
      <c r="O2594" s="815"/>
      <c r="P2594" s="164" t="s">
        <v>103</v>
      </c>
      <c r="Q2594" s="524">
        <v>1000</v>
      </c>
      <c r="R2594" s="524">
        <v>1000</v>
      </c>
      <c r="S2594" s="933"/>
      <c r="T2594" s="933"/>
      <c r="U2594" s="933"/>
      <c r="V2594" s="532"/>
      <c r="W2594" s="42" t="s">
        <v>930</v>
      </c>
      <c r="X2594" s="16">
        <f t="shared" si="394"/>
        <v>1000</v>
      </c>
      <c r="Y2594" s="16">
        <f t="shared" si="395"/>
        <v>0</v>
      </c>
    </row>
    <row r="2595" spans="1:25" s="709" customFormat="1" ht="16.5">
      <c r="A2595" s="741"/>
      <c r="B2595" s="545" t="s">
        <v>321</v>
      </c>
      <c r="C2595" s="164" t="s">
        <v>2546</v>
      </c>
      <c r="D2595" s="444">
        <v>40962</v>
      </c>
      <c r="E2595" s="647"/>
      <c r="F2595" s="42" t="s">
        <v>2545</v>
      </c>
      <c r="G2595" s="42"/>
      <c r="H2595" s="283"/>
      <c r="I2595" s="283"/>
      <c r="J2595" s="42"/>
      <c r="K2595" s="283">
        <v>10000</v>
      </c>
      <c r="L2595" s="283"/>
      <c r="M2595" s="283">
        <f t="shared" si="393"/>
        <v>10000</v>
      </c>
      <c r="N2595" s="283"/>
      <c r="O2595" s="815"/>
      <c r="P2595" s="164" t="s">
        <v>103</v>
      </c>
      <c r="Q2595" s="524">
        <v>10000</v>
      </c>
      <c r="R2595" s="524">
        <v>10000</v>
      </c>
      <c r="S2595" s="933"/>
      <c r="T2595" s="933"/>
      <c r="U2595" s="933"/>
      <c r="V2595" s="532"/>
      <c r="W2595" s="42" t="s">
        <v>930</v>
      </c>
      <c r="X2595" s="16">
        <f t="shared" si="394"/>
        <v>10000</v>
      </c>
      <c r="Y2595" s="16">
        <f t="shared" si="395"/>
        <v>0</v>
      </c>
    </row>
    <row r="2596" spans="1:25" s="709" customFormat="1" ht="16.5">
      <c r="A2596" s="741"/>
      <c r="B2596" s="545" t="s">
        <v>319</v>
      </c>
      <c r="C2596" s="164" t="s">
        <v>2548</v>
      </c>
      <c r="D2596" s="444">
        <v>40962</v>
      </c>
      <c r="E2596" s="647"/>
      <c r="F2596" s="42" t="s">
        <v>2547</v>
      </c>
      <c r="G2596" s="42"/>
      <c r="H2596" s="283"/>
      <c r="I2596" s="283"/>
      <c r="J2596" s="42"/>
      <c r="K2596" s="283">
        <v>3600</v>
      </c>
      <c r="L2596" s="283"/>
      <c r="M2596" s="283">
        <f t="shared" si="393"/>
        <v>3600</v>
      </c>
      <c r="N2596" s="283"/>
      <c r="O2596" s="815"/>
      <c r="P2596" s="164" t="s">
        <v>103</v>
      </c>
      <c r="Q2596" s="524">
        <v>3600</v>
      </c>
      <c r="R2596" s="524">
        <v>3600</v>
      </c>
      <c r="S2596" s="933"/>
      <c r="T2596" s="933"/>
      <c r="U2596" s="933"/>
      <c r="V2596" s="532"/>
      <c r="W2596" s="42" t="s">
        <v>930</v>
      </c>
      <c r="X2596" s="16">
        <f t="shared" si="394"/>
        <v>3600</v>
      </c>
      <c r="Y2596" s="16">
        <f t="shared" si="395"/>
        <v>0</v>
      </c>
    </row>
    <row r="2597" spans="1:25" s="709" customFormat="1" ht="16.5">
      <c r="A2597" s="741"/>
      <c r="B2597" s="545" t="s">
        <v>319</v>
      </c>
      <c r="C2597" s="164" t="s">
        <v>2550</v>
      </c>
      <c r="D2597" s="444">
        <v>40975</v>
      </c>
      <c r="E2597" s="647"/>
      <c r="F2597" s="42" t="s">
        <v>2549</v>
      </c>
      <c r="G2597" s="42"/>
      <c r="H2597" s="283"/>
      <c r="I2597" s="283"/>
      <c r="J2597" s="42"/>
      <c r="K2597" s="283">
        <v>1200</v>
      </c>
      <c r="L2597" s="283"/>
      <c r="M2597" s="283">
        <f t="shared" si="393"/>
        <v>1200</v>
      </c>
      <c r="N2597" s="283"/>
      <c r="O2597" s="815"/>
      <c r="P2597" s="164" t="s">
        <v>103</v>
      </c>
      <c r="Q2597" s="524">
        <v>1200</v>
      </c>
      <c r="R2597" s="524">
        <v>1200</v>
      </c>
      <c r="S2597" s="933"/>
      <c r="T2597" s="933"/>
      <c r="U2597" s="933"/>
      <c r="V2597" s="532"/>
      <c r="W2597" s="42" t="s">
        <v>930</v>
      </c>
      <c r="X2597" s="16">
        <f t="shared" si="394"/>
        <v>1200</v>
      </c>
      <c r="Y2597" s="16">
        <f t="shared" si="395"/>
        <v>0</v>
      </c>
    </row>
    <row r="2598" spans="1:25" s="709" customFormat="1" ht="16.5">
      <c r="A2598" s="741"/>
      <c r="B2598" s="545" t="s">
        <v>314</v>
      </c>
      <c r="C2598" s="164" t="s">
        <v>2551</v>
      </c>
      <c r="D2598" s="444">
        <v>40974</v>
      </c>
      <c r="E2598" s="647"/>
      <c r="F2598" s="42" t="s">
        <v>315</v>
      </c>
      <c r="G2598" s="42"/>
      <c r="H2598" s="283"/>
      <c r="I2598" s="283"/>
      <c r="J2598" s="42"/>
      <c r="K2598" s="283">
        <v>46500</v>
      </c>
      <c r="L2598" s="283"/>
      <c r="M2598" s="283">
        <f t="shared" si="393"/>
        <v>46500</v>
      </c>
      <c r="N2598" s="283"/>
      <c r="O2598" s="815"/>
      <c r="P2598" s="164" t="s">
        <v>103</v>
      </c>
      <c r="Q2598" s="524">
        <v>46500</v>
      </c>
      <c r="R2598" s="524">
        <v>46500</v>
      </c>
      <c r="S2598" s="933"/>
      <c r="T2598" s="933"/>
      <c r="U2598" s="933"/>
      <c r="V2598" s="532"/>
      <c r="W2598" s="42" t="s">
        <v>930</v>
      </c>
      <c r="X2598" s="16">
        <f t="shared" si="394"/>
        <v>46500</v>
      </c>
      <c r="Y2598" s="16">
        <f t="shared" si="395"/>
        <v>0</v>
      </c>
    </row>
    <row r="2599" spans="1:25" s="709" customFormat="1" ht="16.5">
      <c r="A2599" s="741"/>
      <c r="B2599" s="545" t="s">
        <v>314</v>
      </c>
      <c r="C2599" s="164" t="s">
        <v>2552</v>
      </c>
      <c r="D2599" s="444">
        <v>40974</v>
      </c>
      <c r="E2599" s="647"/>
      <c r="F2599" s="42" t="s">
        <v>1749</v>
      </c>
      <c r="G2599" s="42"/>
      <c r="H2599" s="283"/>
      <c r="I2599" s="283"/>
      <c r="J2599" s="42"/>
      <c r="K2599" s="283">
        <v>7900</v>
      </c>
      <c r="L2599" s="283"/>
      <c r="M2599" s="283">
        <f t="shared" si="393"/>
        <v>7900</v>
      </c>
      <c r="N2599" s="283"/>
      <c r="O2599" s="815"/>
      <c r="P2599" s="164" t="s">
        <v>103</v>
      </c>
      <c r="Q2599" s="524">
        <v>7900</v>
      </c>
      <c r="R2599" s="524">
        <v>7900</v>
      </c>
      <c r="S2599" s="933"/>
      <c r="T2599" s="933"/>
      <c r="U2599" s="933"/>
      <c r="V2599" s="532"/>
      <c r="W2599" s="42" t="s">
        <v>930</v>
      </c>
      <c r="X2599" s="16">
        <f t="shared" si="394"/>
        <v>7900</v>
      </c>
      <c r="Y2599" s="16">
        <f t="shared" si="395"/>
        <v>0</v>
      </c>
    </row>
    <row r="2600" spans="1:25" s="709" customFormat="1" ht="16.5">
      <c r="A2600" s="741"/>
      <c r="B2600" s="545" t="s">
        <v>319</v>
      </c>
      <c r="C2600" s="164" t="s">
        <v>2553</v>
      </c>
      <c r="D2600" s="531">
        <v>40974</v>
      </c>
      <c r="E2600" s="647"/>
      <c r="F2600" s="42" t="s">
        <v>315</v>
      </c>
      <c r="G2600" s="42"/>
      <c r="H2600" s="283"/>
      <c r="I2600" s="283"/>
      <c r="J2600" s="42"/>
      <c r="K2600" s="283">
        <v>28800</v>
      </c>
      <c r="L2600" s="283"/>
      <c r="M2600" s="283">
        <f t="shared" si="393"/>
        <v>28800</v>
      </c>
      <c r="N2600" s="283"/>
      <c r="O2600" s="815"/>
      <c r="P2600" s="164" t="s">
        <v>103</v>
      </c>
      <c r="Q2600" s="524">
        <v>28800</v>
      </c>
      <c r="R2600" s="524">
        <v>28800</v>
      </c>
      <c r="S2600" s="933"/>
      <c r="T2600" s="933"/>
      <c r="U2600" s="933"/>
      <c r="V2600" s="546"/>
      <c r="W2600" s="42" t="s">
        <v>930</v>
      </c>
      <c r="X2600" s="16">
        <f t="shared" si="394"/>
        <v>28800</v>
      </c>
      <c r="Y2600" s="16">
        <f t="shared" si="395"/>
        <v>0</v>
      </c>
    </row>
    <row r="2601" spans="1:25" s="709" customFormat="1" ht="16.5">
      <c r="A2601" s="741"/>
      <c r="B2601" s="545" t="s">
        <v>314</v>
      </c>
      <c r="C2601" s="164" t="s">
        <v>2566</v>
      </c>
      <c r="D2601" s="444">
        <v>40994</v>
      </c>
      <c r="E2601" s="647"/>
      <c r="F2601" s="42" t="s">
        <v>2565</v>
      </c>
      <c r="G2601" s="42"/>
      <c r="H2601" s="283"/>
      <c r="I2601" s="283"/>
      <c r="J2601" s="42"/>
      <c r="K2601" s="283">
        <v>12979</v>
      </c>
      <c r="L2601" s="283"/>
      <c r="M2601" s="283">
        <f t="shared" ref="M2601:M2604" si="396">SUM(K2601:L2601)</f>
        <v>12979</v>
      </c>
      <c r="N2601" s="283"/>
      <c r="O2601" s="815"/>
      <c r="P2601" s="164" t="s">
        <v>103</v>
      </c>
      <c r="Q2601" s="524">
        <v>12979</v>
      </c>
      <c r="R2601" s="524">
        <v>12979</v>
      </c>
      <c r="S2601" s="933"/>
      <c r="T2601" s="933"/>
      <c r="U2601" s="933"/>
      <c r="V2601" s="532"/>
      <c r="W2601" s="42" t="s">
        <v>930</v>
      </c>
      <c r="X2601" s="16">
        <f t="shared" ref="X2601:X2604" si="397">SUM(J2601:L2601)</f>
        <v>12979</v>
      </c>
      <c r="Y2601" s="16">
        <f t="shared" si="395"/>
        <v>0</v>
      </c>
    </row>
    <row r="2602" spans="1:25" s="709" customFormat="1" ht="16.5">
      <c r="A2602" s="741"/>
      <c r="B2602" s="545" t="s">
        <v>311</v>
      </c>
      <c r="C2602" s="164" t="s">
        <v>2587</v>
      </c>
      <c r="D2602" s="444">
        <v>41016</v>
      </c>
      <c r="E2602" s="647"/>
      <c r="F2602" s="42" t="s">
        <v>2586</v>
      </c>
      <c r="G2602" s="42"/>
      <c r="H2602" s="283"/>
      <c r="I2602" s="283"/>
      <c r="J2602" s="42"/>
      <c r="K2602" s="283">
        <v>-500</v>
      </c>
      <c r="L2602" s="283"/>
      <c r="M2602" s="283">
        <f t="shared" si="396"/>
        <v>-500</v>
      </c>
      <c r="N2602" s="283"/>
      <c r="O2602" s="815"/>
      <c r="P2602" s="164" t="s">
        <v>103</v>
      </c>
      <c r="Q2602" s="524">
        <v>-500</v>
      </c>
      <c r="R2602" s="524">
        <v>-500</v>
      </c>
      <c r="S2602" s="933"/>
      <c r="T2602" s="933"/>
      <c r="U2602" s="933"/>
      <c r="V2602" s="532"/>
      <c r="W2602" s="42" t="s">
        <v>930</v>
      </c>
      <c r="X2602" s="16">
        <f t="shared" si="397"/>
        <v>-500</v>
      </c>
      <c r="Y2602" s="16">
        <f t="shared" si="395"/>
        <v>0</v>
      </c>
    </row>
    <row r="2603" spans="1:25" s="709" customFormat="1" ht="16.5">
      <c r="A2603" s="741"/>
      <c r="B2603" s="545" t="s">
        <v>311</v>
      </c>
      <c r="C2603" s="164" t="s">
        <v>2589</v>
      </c>
      <c r="D2603" s="444">
        <v>41016</v>
      </c>
      <c r="E2603" s="647"/>
      <c r="F2603" s="42" t="s">
        <v>2588</v>
      </c>
      <c r="G2603" s="42"/>
      <c r="H2603" s="283"/>
      <c r="I2603" s="283"/>
      <c r="J2603" s="42"/>
      <c r="K2603" s="283">
        <v>500</v>
      </c>
      <c r="L2603" s="283"/>
      <c r="M2603" s="283">
        <f t="shared" si="396"/>
        <v>500</v>
      </c>
      <c r="N2603" s="283"/>
      <c r="O2603" s="815"/>
      <c r="P2603" s="164" t="s">
        <v>103</v>
      </c>
      <c r="Q2603" s="524">
        <v>500</v>
      </c>
      <c r="R2603" s="524">
        <v>500</v>
      </c>
      <c r="S2603" s="933"/>
      <c r="T2603" s="933"/>
      <c r="U2603" s="933"/>
      <c r="V2603" s="532"/>
      <c r="W2603" s="42" t="s">
        <v>930</v>
      </c>
      <c r="X2603" s="16">
        <f t="shared" si="397"/>
        <v>500</v>
      </c>
      <c r="Y2603" s="16">
        <f t="shared" si="395"/>
        <v>0</v>
      </c>
    </row>
    <row r="2604" spans="1:25" s="709" customFormat="1" ht="16.5">
      <c r="A2604" s="741"/>
      <c r="B2604" s="545" t="s">
        <v>314</v>
      </c>
      <c r="C2604" s="164" t="s">
        <v>2631</v>
      </c>
      <c r="D2604" s="444">
        <v>41079</v>
      </c>
      <c r="E2604" s="647"/>
      <c r="F2604" s="42" t="s">
        <v>2630</v>
      </c>
      <c r="G2604" s="42"/>
      <c r="H2604" s="283"/>
      <c r="I2604" s="283"/>
      <c r="J2604" s="42"/>
      <c r="K2604" s="283">
        <v>-12979</v>
      </c>
      <c r="L2604" s="283"/>
      <c r="M2604" s="283">
        <f t="shared" si="396"/>
        <v>-12979</v>
      </c>
      <c r="N2604" s="283"/>
      <c r="O2604" s="815"/>
      <c r="P2604" s="164" t="s">
        <v>103</v>
      </c>
      <c r="Q2604" s="524">
        <v>-12979</v>
      </c>
      <c r="R2604" s="524">
        <v>-12979</v>
      </c>
      <c r="S2604" s="933"/>
      <c r="T2604" s="933"/>
      <c r="U2604" s="933"/>
      <c r="V2604" s="532"/>
      <c r="W2604" s="42" t="s">
        <v>930</v>
      </c>
      <c r="X2604" s="16">
        <f t="shared" si="397"/>
        <v>-12979</v>
      </c>
      <c r="Y2604" s="16">
        <f t="shared" si="395"/>
        <v>0</v>
      </c>
    </row>
    <row r="2605" spans="1:25" s="739" customFormat="1" ht="15.95" customHeight="1">
      <c r="B2605" s="545" t="s">
        <v>311</v>
      </c>
      <c r="C2605" s="164" t="s">
        <v>2679</v>
      </c>
      <c r="D2605" s="531">
        <v>41185</v>
      </c>
      <c r="E2605" s="647"/>
      <c r="F2605" s="42" t="s">
        <v>2678</v>
      </c>
      <c r="G2605" s="42"/>
      <c r="H2605" s="283"/>
      <c r="I2605" s="283"/>
      <c r="J2605" s="283"/>
      <c r="K2605" s="283">
        <f>-10000+10000</f>
        <v>0</v>
      </c>
      <c r="L2605" s="42"/>
      <c r="M2605" s="283">
        <f t="shared" ref="M2605:M2606" si="398">SUM(K2605:L2605)</f>
        <v>0</v>
      </c>
      <c r="N2605" s="42"/>
      <c r="O2605" s="166"/>
      <c r="P2605" s="1151"/>
      <c r="Q2605" s="216"/>
      <c r="R2605" s="216"/>
      <c r="S2605" s="877"/>
      <c r="T2605" s="877"/>
      <c r="U2605" s="877"/>
      <c r="V2605" s="38"/>
      <c r="X2605" s="16">
        <f t="shared" ref="X2605" si="399">SUM(J2605:L2605)</f>
        <v>0</v>
      </c>
      <c r="Y2605" s="16">
        <f t="shared" si="395"/>
        <v>0</v>
      </c>
    </row>
    <row r="2606" spans="1:25" s="739" customFormat="1" ht="15.95" customHeight="1">
      <c r="B2606" s="545" t="s">
        <v>349</v>
      </c>
      <c r="C2606" s="164" t="s">
        <v>4462</v>
      </c>
      <c r="D2606" s="531">
        <v>41232</v>
      </c>
      <c r="E2606" s="647"/>
      <c r="F2606" s="42" t="s">
        <v>1912</v>
      </c>
      <c r="G2606" s="42"/>
      <c r="H2606" s="283"/>
      <c r="I2606" s="283"/>
      <c r="J2606" s="283"/>
      <c r="K2606" s="283">
        <v>-3000</v>
      </c>
      <c r="L2606" s="42"/>
      <c r="M2606" s="283">
        <f t="shared" si="398"/>
        <v>-3000</v>
      </c>
      <c r="N2606" s="42"/>
      <c r="O2606" s="166"/>
      <c r="P2606" s="1151"/>
      <c r="Q2606" s="216"/>
      <c r="R2606" s="216"/>
      <c r="S2606" s="877"/>
      <c r="T2606" s="877"/>
      <c r="U2606" s="877"/>
      <c r="V2606" s="38"/>
      <c r="X2606" s="16"/>
      <c r="Y2606" s="16"/>
    </row>
    <row r="2607" spans="1:25" s="709" customFormat="1" ht="16.5">
      <c r="A2607" s="741"/>
      <c r="B2607" s="545" t="s">
        <v>380</v>
      </c>
      <c r="C2607" s="164" t="s">
        <v>2555</v>
      </c>
      <c r="D2607" s="444">
        <v>40995</v>
      </c>
      <c r="E2607" s="647"/>
      <c r="F2607" s="42" t="s">
        <v>2554</v>
      </c>
      <c r="G2607" s="42"/>
      <c r="H2607" s="283"/>
      <c r="I2607" s="283"/>
      <c r="J2607" s="42"/>
      <c r="K2607" s="283">
        <v>1500</v>
      </c>
      <c r="L2607" s="283"/>
      <c r="M2607" s="283">
        <f t="shared" si="393"/>
        <v>1500</v>
      </c>
      <c r="N2607" s="283"/>
      <c r="O2607" s="815"/>
      <c r="P2607" s="164" t="s">
        <v>103</v>
      </c>
      <c r="Q2607" s="524">
        <v>1500</v>
      </c>
      <c r="R2607" s="524">
        <v>1500</v>
      </c>
      <c r="S2607" s="933">
        <v>1500</v>
      </c>
      <c r="T2607" s="933"/>
      <c r="U2607" s="933"/>
      <c r="V2607" s="532"/>
      <c r="W2607" s="42" t="s">
        <v>930</v>
      </c>
      <c r="X2607" s="16">
        <f t="shared" si="394"/>
        <v>1500</v>
      </c>
      <c r="Y2607" s="16">
        <f>X2607-M2607</f>
        <v>0</v>
      </c>
    </row>
    <row r="2608" spans="1:25" s="709" customFormat="1" ht="16.5">
      <c r="A2608" s="741"/>
      <c r="B2608" s="545" t="s">
        <v>349</v>
      </c>
      <c r="C2608" s="164" t="s">
        <v>2557</v>
      </c>
      <c r="D2608" s="444">
        <v>40995</v>
      </c>
      <c r="E2608" s="647"/>
      <c r="F2608" s="42" t="s">
        <v>2556</v>
      </c>
      <c r="G2608" s="42"/>
      <c r="H2608" s="283"/>
      <c r="I2608" s="283"/>
      <c r="J2608" s="42"/>
      <c r="K2608" s="283">
        <v>10000</v>
      </c>
      <c r="L2608" s="283"/>
      <c r="M2608" s="283">
        <f t="shared" si="393"/>
        <v>10000</v>
      </c>
      <c r="N2608" s="283"/>
      <c r="O2608" s="815"/>
      <c r="P2608" s="164" t="s">
        <v>103</v>
      </c>
      <c r="Q2608" s="507">
        <f>SUM(Q2609:Q2611)</f>
        <v>10000</v>
      </c>
      <c r="R2608" s="507">
        <f>SUM(R2609:R2611)</f>
        <v>10000</v>
      </c>
      <c r="S2608" s="1324" t="s">
        <v>2558</v>
      </c>
      <c r="T2608" s="1324"/>
      <c r="U2608" s="1324"/>
      <c r="V2608" s="546"/>
      <c r="W2608" s="42" t="s">
        <v>930</v>
      </c>
      <c r="X2608" s="16">
        <f t="shared" si="394"/>
        <v>10000</v>
      </c>
      <c r="Y2608" s="16">
        <f>X2608-M2608</f>
        <v>0</v>
      </c>
    </row>
    <row r="2609" spans="1:25" s="709" customFormat="1" ht="16.5">
      <c r="A2609" s="741"/>
      <c r="B2609" s="545"/>
      <c r="C2609" s="164"/>
      <c r="D2609" s="444"/>
      <c r="E2609" s="647"/>
      <c r="F2609" s="42"/>
      <c r="G2609" s="42"/>
      <c r="H2609" s="283"/>
      <c r="I2609" s="283"/>
      <c r="J2609" s="42"/>
      <c r="K2609" s="283"/>
      <c r="L2609" s="283"/>
      <c r="M2609" s="283"/>
      <c r="N2609" s="283"/>
      <c r="O2609" s="815"/>
      <c r="P2609" s="164"/>
      <c r="Q2609" s="356">
        <v>2000</v>
      </c>
      <c r="R2609" s="356">
        <v>2000</v>
      </c>
      <c r="S2609" s="1324"/>
      <c r="T2609" s="1324"/>
      <c r="U2609" s="1324"/>
      <c r="V2609" s="546"/>
      <c r="W2609" s="42"/>
      <c r="X2609" s="16"/>
      <c r="Y2609" s="16"/>
    </row>
    <row r="2610" spans="1:25" s="709" customFormat="1" ht="16.5">
      <c r="A2610" s="741"/>
      <c r="B2610" s="545"/>
      <c r="C2610" s="164"/>
      <c r="D2610" s="444"/>
      <c r="E2610" s="647"/>
      <c r="F2610" s="42"/>
      <c r="G2610" s="42"/>
      <c r="H2610" s="283"/>
      <c r="I2610" s="283"/>
      <c r="J2610" s="42"/>
      <c r="K2610" s="283"/>
      <c r="L2610" s="283"/>
      <c r="M2610" s="283"/>
      <c r="N2610" s="283"/>
      <c r="O2610" s="815"/>
      <c r="P2610" s="164"/>
      <c r="Q2610" s="356">
        <v>4000</v>
      </c>
      <c r="R2610" s="356">
        <v>4000</v>
      </c>
      <c r="S2610" s="1324" t="s">
        <v>2559</v>
      </c>
      <c r="T2610" s="1324"/>
      <c r="U2610" s="1324"/>
      <c r="V2610" s="546"/>
      <c r="W2610" s="42"/>
      <c r="X2610" s="16"/>
      <c r="Y2610" s="16"/>
    </row>
    <row r="2611" spans="1:25" s="709" customFormat="1" ht="30" customHeight="1">
      <c r="A2611" s="741"/>
      <c r="B2611" s="545"/>
      <c r="C2611" s="164"/>
      <c r="D2611" s="444"/>
      <c r="E2611" s="647"/>
      <c r="F2611" s="42"/>
      <c r="G2611" s="42"/>
      <c r="H2611" s="283"/>
      <c r="I2611" s="283"/>
      <c r="J2611" s="42"/>
      <c r="K2611" s="283"/>
      <c r="L2611" s="283"/>
      <c r="M2611" s="283"/>
      <c r="N2611" s="283"/>
      <c r="O2611" s="815"/>
      <c r="P2611" s="164"/>
      <c r="Q2611" s="356">
        <v>4000</v>
      </c>
      <c r="R2611" s="356">
        <v>4000</v>
      </c>
      <c r="S2611" s="1324" t="s">
        <v>2560</v>
      </c>
      <c r="T2611" s="1324"/>
      <c r="U2611" s="1324"/>
      <c r="V2611" s="546"/>
      <c r="W2611" s="42"/>
      <c r="X2611" s="16"/>
      <c r="Y2611" s="16"/>
    </row>
    <row r="2612" spans="1:25" s="709" customFormat="1" ht="16.5">
      <c r="A2612" s="741"/>
      <c r="B2612" s="545"/>
      <c r="C2612" s="164"/>
      <c r="D2612" s="444"/>
      <c r="E2612" s="647"/>
      <c r="F2612" s="42"/>
      <c r="G2612" s="42"/>
      <c r="H2612" s="283"/>
      <c r="I2612" s="283"/>
      <c r="J2612" s="42"/>
      <c r="K2612" s="283"/>
      <c r="L2612" s="283"/>
      <c r="M2612" s="283"/>
      <c r="N2612" s="283"/>
      <c r="O2612" s="815"/>
      <c r="P2612" s="164"/>
      <c r="Q2612" s="351"/>
      <c r="R2612" s="351"/>
      <c r="S2612" s="933"/>
      <c r="T2612" s="933"/>
      <c r="U2612" s="933"/>
      <c r="V2612" s="546"/>
      <c r="W2612" s="42"/>
      <c r="X2612" s="16"/>
      <c r="Y2612" s="16"/>
    </row>
    <row r="2613" spans="1:25" s="709" customFormat="1" ht="16.5">
      <c r="A2613" s="741"/>
      <c r="B2613" s="545" t="s">
        <v>380</v>
      </c>
      <c r="C2613" s="164" t="s">
        <v>2562</v>
      </c>
      <c r="D2613" s="444">
        <v>40995</v>
      </c>
      <c r="E2613" s="647"/>
      <c r="F2613" s="42" t="s">
        <v>2561</v>
      </c>
      <c r="G2613" s="42"/>
      <c r="H2613" s="283"/>
      <c r="I2613" s="283"/>
      <c r="J2613" s="42"/>
      <c r="K2613" s="283">
        <v>8000</v>
      </c>
      <c r="L2613" s="283"/>
      <c r="M2613" s="283">
        <f t="shared" ref="M2613:M2626" si="400">SUM(K2613:L2613)</f>
        <v>8000</v>
      </c>
      <c r="N2613" s="283"/>
      <c r="O2613" s="815"/>
      <c r="P2613" s="164" t="s">
        <v>103</v>
      </c>
      <c r="Q2613" s="524">
        <v>8000</v>
      </c>
      <c r="R2613" s="524">
        <v>8000</v>
      </c>
      <c r="S2613" s="933">
        <v>8000</v>
      </c>
      <c r="T2613" s="933"/>
      <c r="U2613" s="933"/>
      <c r="V2613" s="532"/>
      <c r="W2613" s="42" t="s">
        <v>930</v>
      </c>
      <c r="X2613" s="16">
        <f t="shared" ref="X2613:X2626" si="401">SUM(J2613:L2613)</f>
        <v>8000</v>
      </c>
      <c r="Y2613" s="16">
        <f t="shared" ref="Y2613:Y2626" si="402">X2613-M2613</f>
        <v>0</v>
      </c>
    </row>
    <row r="2614" spans="1:25" s="709" customFormat="1" ht="16.5">
      <c r="A2614" s="741"/>
      <c r="B2614" s="545" t="s">
        <v>321</v>
      </c>
      <c r="C2614" s="164" t="s">
        <v>2563</v>
      </c>
      <c r="D2614" s="444">
        <v>40995</v>
      </c>
      <c r="E2614" s="647"/>
      <c r="F2614" s="42" t="s">
        <v>315</v>
      </c>
      <c r="G2614" s="42"/>
      <c r="H2614" s="283"/>
      <c r="I2614" s="283"/>
      <c r="J2614" s="42"/>
      <c r="K2614" s="283">
        <v>10000</v>
      </c>
      <c r="L2614" s="283"/>
      <c r="M2614" s="283">
        <f t="shared" si="400"/>
        <v>10000</v>
      </c>
      <c r="N2614" s="283"/>
      <c r="O2614" s="815"/>
      <c r="P2614" s="164" t="s">
        <v>103</v>
      </c>
      <c r="Q2614" s="524">
        <v>10000</v>
      </c>
      <c r="R2614" s="524">
        <v>10000</v>
      </c>
      <c r="S2614" s="933"/>
      <c r="T2614" s="933"/>
      <c r="U2614" s="933"/>
      <c r="V2614" s="532"/>
      <c r="W2614" s="42" t="s">
        <v>930</v>
      </c>
      <c r="X2614" s="16">
        <f t="shared" si="401"/>
        <v>10000</v>
      </c>
      <c r="Y2614" s="16">
        <f t="shared" si="402"/>
        <v>0</v>
      </c>
    </row>
    <row r="2615" spans="1:25" s="709" customFormat="1" ht="16.5">
      <c r="A2615" s="741"/>
      <c r="B2615" s="1085" t="s">
        <v>6359</v>
      </c>
      <c r="C2615" s="164"/>
      <c r="D2615" s="444"/>
      <c r="E2615" s="647"/>
      <c r="F2615" s="42"/>
      <c r="G2615" s="42"/>
      <c r="H2615" s="283"/>
      <c r="I2615" s="283"/>
      <c r="J2615" s="42"/>
      <c r="K2615" s="283"/>
      <c r="L2615" s="283"/>
      <c r="M2615" s="283"/>
      <c r="N2615" s="283"/>
      <c r="O2615" s="815"/>
      <c r="P2615" s="164"/>
      <c r="Q2615" s="524"/>
      <c r="R2615" s="524"/>
      <c r="S2615" s="933"/>
      <c r="T2615" s="933"/>
      <c r="U2615" s="933"/>
      <c r="V2615" s="532"/>
      <c r="W2615" s="42"/>
      <c r="X2615" s="16"/>
      <c r="Y2615" s="16"/>
    </row>
    <row r="2616" spans="1:25" s="709" customFormat="1" ht="16.5">
      <c r="A2616" s="741"/>
      <c r="B2616" s="1085" t="s">
        <v>6360</v>
      </c>
      <c r="C2616" s="164"/>
      <c r="D2616" s="444"/>
      <c r="E2616" s="647"/>
      <c r="F2616" s="42"/>
      <c r="G2616" s="42"/>
      <c r="H2616" s="283"/>
      <c r="I2616" s="283"/>
      <c r="J2616" s="42"/>
      <c r="K2616" s="283"/>
      <c r="L2616" s="283"/>
      <c r="M2616" s="283"/>
      <c r="N2616" s="283"/>
      <c r="O2616" s="815"/>
      <c r="P2616" s="164"/>
      <c r="Q2616" s="524"/>
      <c r="R2616" s="524"/>
      <c r="S2616" s="933"/>
      <c r="T2616" s="933"/>
      <c r="U2616" s="933"/>
      <c r="V2616" s="532"/>
      <c r="W2616" s="42"/>
      <c r="X2616" s="16"/>
      <c r="Y2616" s="16"/>
    </row>
    <row r="2617" spans="1:25" s="709" customFormat="1" ht="16.5">
      <c r="A2617" s="741"/>
      <c r="B2617" s="1085" t="s">
        <v>6361</v>
      </c>
      <c r="C2617" s="164"/>
      <c r="D2617" s="444"/>
      <c r="E2617" s="647"/>
      <c r="F2617" s="42"/>
      <c r="G2617" s="42"/>
      <c r="H2617" s="283"/>
      <c r="I2617" s="283"/>
      <c r="J2617" s="42"/>
      <c r="K2617" s="283"/>
      <c r="L2617" s="283"/>
      <c r="M2617" s="283"/>
      <c r="N2617" s="283"/>
      <c r="O2617" s="815"/>
      <c r="P2617" s="164"/>
      <c r="Q2617" s="524"/>
      <c r="R2617" s="524"/>
      <c r="S2617" s="933"/>
      <c r="T2617" s="933"/>
      <c r="U2617" s="933"/>
      <c r="V2617" s="532"/>
      <c r="W2617" s="42"/>
      <c r="X2617" s="16"/>
      <c r="Y2617" s="16"/>
    </row>
    <row r="2618" spans="1:25" s="709" customFormat="1" ht="16.5">
      <c r="A2618" s="741"/>
      <c r="B2618" s="1085"/>
      <c r="C2618" s="164"/>
      <c r="D2618" s="444"/>
      <c r="E2618" s="647"/>
      <c r="F2618" s="42"/>
      <c r="G2618" s="42"/>
      <c r="H2618" s="283"/>
      <c r="I2618" s="283"/>
      <c r="J2618" s="42"/>
      <c r="K2618" s="283"/>
      <c r="L2618" s="283"/>
      <c r="M2618" s="283"/>
      <c r="N2618" s="283"/>
      <c r="O2618" s="815"/>
      <c r="P2618" s="164"/>
      <c r="Q2618" s="524"/>
      <c r="R2618" s="524"/>
      <c r="S2618" s="933"/>
      <c r="T2618" s="933"/>
      <c r="U2618" s="933"/>
      <c r="V2618" s="532"/>
      <c r="W2618" s="42"/>
      <c r="X2618" s="16"/>
      <c r="Y2618" s="16"/>
    </row>
    <row r="2619" spans="1:25" s="709" customFormat="1" ht="16.5">
      <c r="A2619" s="741"/>
      <c r="B2619" s="545" t="s">
        <v>331</v>
      </c>
      <c r="C2619" s="164" t="s">
        <v>2564</v>
      </c>
      <c r="D2619" s="444">
        <v>40994</v>
      </c>
      <c r="E2619" s="647"/>
      <c r="F2619" s="42" t="s">
        <v>2516</v>
      </c>
      <c r="G2619" s="42"/>
      <c r="H2619" s="283"/>
      <c r="I2619" s="283"/>
      <c r="J2619" s="42"/>
      <c r="K2619" s="283">
        <v>6500</v>
      </c>
      <c r="L2619" s="283"/>
      <c r="M2619" s="283">
        <f t="shared" si="400"/>
        <v>6500</v>
      </c>
      <c r="N2619" s="283"/>
      <c r="O2619" s="815"/>
      <c r="P2619" s="164" t="s">
        <v>103</v>
      </c>
      <c r="Q2619" s="524">
        <v>6500</v>
      </c>
      <c r="R2619" s="524">
        <v>6500</v>
      </c>
      <c r="S2619" s="933"/>
      <c r="T2619" s="933"/>
      <c r="U2619" s="933"/>
      <c r="V2619" s="532"/>
      <c r="W2619" s="42" t="s">
        <v>930</v>
      </c>
      <c r="X2619" s="16">
        <f t="shared" si="401"/>
        <v>6500</v>
      </c>
      <c r="Y2619" s="16">
        <f t="shared" si="402"/>
        <v>0</v>
      </c>
    </row>
    <row r="2620" spans="1:25" s="709" customFormat="1" ht="16.5">
      <c r="A2620" s="741"/>
      <c r="B2620" s="545" t="s">
        <v>337</v>
      </c>
      <c r="C2620" s="164" t="s">
        <v>2568</v>
      </c>
      <c r="D2620" s="444">
        <v>40995</v>
      </c>
      <c r="E2620" s="647"/>
      <c r="F2620" s="42" t="s">
        <v>2567</v>
      </c>
      <c r="G2620" s="42"/>
      <c r="H2620" s="283"/>
      <c r="I2620" s="283"/>
      <c r="J2620" s="42"/>
      <c r="K2620" s="283">
        <v>8600</v>
      </c>
      <c r="L2620" s="283"/>
      <c r="M2620" s="283">
        <f t="shared" si="400"/>
        <v>8600</v>
      </c>
      <c r="N2620" s="283"/>
      <c r="O2620" s="815"/>
      <c r="P2620" s="164" t="s">
        <v>103</v>
      </c>
      <c r="Q2620" s="524">
        <v>8600</v>
      </c>
      <c r="R2620" s="524">
        <v>8600</v>
      </c>
      <c r="S2620" s="933"/>
      <c r="T2620" s="933"/>
      <c r="U2620" s="933"/>
      <c r="V2620" s="532"/>
      <c r="W2620" s="42" t="s">
        <v>930</v>
      </c>
      <c r="X2620" s="16">
        <f t="shared" si="401"/>
        <v>8600</v>
      </c>
      <c r="Y2620" s="16">
        <f t="shared" si="402"/>
        <v>0</v>
      </c>
    </row>
    <row r="2621" spans="1:25" s="709" customFormat="1" ht="16.5">
      <c r="A2621" s="741"/>
      <c r="B2621" s="545" t="s">
        <v>314</v>
      </c>
      <c r="C2621" s="164" t="s">
        <v>2570</v>
      </c>
      <c r="D2621" s="444">
        <v>40995</v>
      </c>
      <c r="E2621" s="647"/>
      <c r="F2621" s="42" t="s">
        <v>2569</v>
      </c>
      <c r="G2621" s="42"/>
      <c r="H2621" s="283"/>
      <c r="I2621" s="283"/>
      <c r="J2621" s="42"/>
      <c r="K2621" s="283">
        <v>3700</v>
      </c>
      <c r="L2621" s="283"/>
      <c r="M2621" s="283">
        <f t="shared" si="400"/>
        <v>3700</v>
      </c>
      <c r="N2621" s="283"/>
      <c r="O2621" s="815"/>
      <c r="P2621" s="164" t="s">
        <v>103</v>
      </c>
      <c r="Q2621" s="524">
        <v>3700</v>
      </c>
      <c r="R2621" s="524">
        <v>3700</v>
      </c>
      <c r="S2621" s="933"/>
      <c r="T2621" s="933"/>
      <c r="U2621" s="933"/>
      <c r="V2621" s="532"/>
      <c r="W2621" s="42" t="s">
        <v>930</v>
      </c>
      <c r="X2621" s="16">
        <f t="shared" si="401"/>
        <v>3700</v>
      </c>
      <c r="Y2621" s="16">
        <f t="shared" si="402"/>
        <v>0</v>
      </c>
    </row>
    <row r="2622" spans="1:25" s="709" customFormat="1" ht="16.5">
      <c r="A2622" s="741"/>
      <c r="B2622" s="545" t="s">
        <v>319</v>
      </c>
      <c r="C2622" s="164" t="s">
        <v>2572</v>
      </c>
      <c r="D2622" s="444">
        <v>40995</v>
      </c>
      <c r="E2622" s="647"/>
      <c r="F2622" s="42" t="s">
        <v>2571</v>
      </c>
      <c r="G2622" s="42"/>
      <c r="H2622" s="283"/>
      <c r="I2622" s="283"/>
      <c r="J2622" s="42"/>
      <c r="K2622" s="283">
        <v>8700</v>
      </c>
      <c r="L2622" s="283"/>
      <c r="M2622" s="283">
        <f t="shared" si="400"/>
        <v>8700</v>
      </c>
      <c r="N2622" s="283"/>
      <c r="O2622" s="815"/>
      <c r="P2622" s="164" t="s">
        <v>103</v>
      </c>
      <c r="Q2622" s="524">
        <v>8700</v>
      </c>
      <c r="R2622" s="524">
        <v>8700</v>
      </c>
      <c r="S2622" s="933"/>
      <c r="T2622" s="933"/>
      <c r="U2622" s="933"/>
      <c r="V2622" s="532"/>
      <c r="W2622" s="42" t="s">
        <v>930</v>
      </c>
      <c r="X2622" s="16">
        <f t="shared" si="401"/>
        <v>8700</v>
      </c>
      <c r="Y2622" s="16">
        <f t="shared" si="402"/>
        <v>0</v>
      </c>
    </row>
    <row r="2623" spans="1:25" s="709" customFormat="1" ht="60" customHeight="1">
      <c r="A2623" s="741"/>
      <c r="B2623" s="553" t="s">
        <v>308</v>
      </c>
      <c r="C2623" s="108" t="s">
        <v>2574</v>
      </c>
      <c r="D2623" s="527">
        <v>40995</v>
      </c>
      <c r="E2623" s="647"/>
      <c r="F2623" s="525" t="s">
        <v>2573</v>
      </c>
      <c r="G2623" s="42"/>
      <c r="H2623" s="283"/>
      <c r="I2623" s="283"/>
      <c r="J2623" s="42"/>
      <c r="K2623" s="283">
        <v>4000</v>
      </c>
      <c r="L2623" s="283"/>
      <c r="M2623" s="21">
        <f t="shared" si="400"/>
        <v>4000</v>
      </c>
      <c r="N2623" s="21"/>
      <c r="O2623" s="58"/>
      <c r="P2623" s="108" t="s">
        <v>103</v>
      </c>
      <c r="Q2623" s="508">
        <v>4000</v>
      </c>
      <c r="R2623" s="508">
        <v>4000</v>
      </c>
      <c r="S2623" s="1346" t="s">
        <v>4632</v>
      </c>
      <c r="T2623" s="1346"/>
      <c r="U2623" s="1346"/>
      <c r="V2623" s="532"/>
      <c r="W2623" s="525" t="s">
        <v>930</v>
      </c>
      <c r="X2623" s="16">
        <f t="shared" si="401"/>
        <v>4000</v>
      </c>
      <c r="Y2623" s="16">
        <f t="shared" si="402"/>
        <v>0</v>
      </c>
    </row>
    <row r="2624" spans="1:25" s="709" customFormat="1" ht="16.5">
      <c r="A2624" s="741"/>
      <c r="B2624" s="545" t="s">
        <v>311</v>
      </c>
      <c r="C2624" s="164" t="s">
        <v>2576</v>
      </c>
      <c r="D2624" s="444">
        <v>40995</v>
      </c>
      <c r="E2624" s="647"/>
      <c r="F2624" s="42" t="s">
        <v>2575</v>
      </c>
      <c r="G2624" s="42"/>
      <c r="H2624" s="283"/>
      <c r="I2624" s="283"/>
      <c r="J2624" s="42"/>
      <c r="K2624" s="283">
        <v>3000</v>
      </c>
      <c r="L2624" s="283"/>
      <c r="M2624" s="283">
        <f t="shared" si="400"/>
        <v>3000</v>
      </c>
      <c r="N2624" s="283"/>
      <c r="O2624" s="815"/>
      <c r="P2624" s="164" t="s">
        <v>103</v>
      </c>
      <c r="Q2624" s="524">
        <v>3000</v>
      </c>
      <c r="R2624" s="524">
        <v>3000</v>
      </c>
      <c r="S2624" s="933"/>
      <c r="T2624" s="933"/>
      <c r="U2624" s="933"/>
      <c r="V2624" s="532"/>
      <c r="W2624" s="42" t="s">
        <v>930</v>
      </c>
      <c r="X2624" s="16">
        <f t="shared" si="401"/>
        <v>3000</v>
      </c>
      <c r="Y2624" s="16">
        <f t="shared" si="402"/>
        <v>0</v>
      </c>
    </row>
    <row r="2625" spans="1:25" s="709" customFormat="1" ht="16.5">
      <c r="A2625" s="741"/>
      <c r="B2625" s="545" t="s">
        <v>304</v>
      </c>
      <c r="C2625" s="164" t="s">
        <v>2578</v>
      </c>
      <c r="D2625" s="444">
        <v>40995</v>
      </c>
      <c r="E2625" s="647"/>
      <c r="F2625" s="42" t="s">
        <v>2577</v>
      </c>
      <c r="G2625" s="42"/>
      <c r="H2625" s="283"/>
      <c r="I2625" s="283"/>
      <c r="J2625" s="42"/>
      <c r="K2625" s="283">
        <v>3000</v>
      </c>
      <c r="L2625" s="283"/>
      <c r="M2625" s="283">
        <f t="shared" si="400"/>
        <v>3000</v>
      </c>
      <c r="N2625" s="283"/>
      <c r="O2625" s="815"/>
      <c r="P2625" s="164" t="s">
        <v>103</v>
      </c>
      <c r="Q2625" s="524">
        <v>3000</v>
      </c>
      <c r="R2625" s="524">
        <v>3000</v>
      </c>
      <c r="S2625" s="933"/>
      <c r="T2625" s="933"/>
      <c r="U2625" s="933"/>
      <c r="V2625" s="532"/>
      <c r="W2625" s="42" t="s">
        <v>930</v>
      </c>
      <c r="X2625" s="16">
        <f t="shared" si="401"/>
        <v>3000</v>
      </c>
      <c r="Y2625" s="16">
        <f t="shared" si="402"/>
        <v>0</v>
      </c>
    </row>
    <row r="2626" spans="1:25" s="709" customFormat="1" ht="16.5">
      <c r="A2626" s="741"/>
      <c r="B2626" s="545" t="s">
        <v>349</v>
      </c>
      <c r="C2626" s="164" t="s">
        <v>2580</v>
      </c>
      <c r="D2626" s="444">
        <v>41012</v>
      </c>
      <c r="E2626" s="647"/>
      <c r="F2626" s="42" t="s">
        <v>2579</v>
      </c>
      <c r="G2626" s="42"/>
      <c r="H2626" s="283"/>
      <c r="I2626" s="283"/>
      <c r="J2626" s="42"/>
      <c r="K2626" s="283">
        <v>10000</v>
      </c>
      <c r="L2626" s="283"/>
      <c r="M2626" s="283">
        <f t="shared" si="400"/>
        <v>10000</v>
      </c>
      <c r="N2626" s="283"/>
      <c r="O2626" s="815"/>
      <c r="P2626" s="164" t="s">
        <v>103</v>
      </c>
      <c r="Q2626" s="541">
        <f>SUM(Q2627:Q2647)</f>
        <v>10000</v>
      </c>
      <c r="R2626" s="541">
        <f>SUM(R2627:R2647)</f>
        <v>10000</v>
      </c>
      <c r="S2626" s="933"/>
      <c r="T2626" s="933"/>
      <c r="U2626" s="933"/>
      <c r="V2626" s="546"/>
      <c r="W2626" s="42" t="s">
        <v>930</v>
      </c>
      <c r="X2626" s="16">
        <f t="shared" si="401"/>
        <v>10000</v>
      </c>
      <c r="Y2626" s="16">
        <f t="shared" si="402"/>
        <v>0</v>
      </c>
    </row>
    <row r="2627" spans="1:25" s="709" customFormat="1" ht="15" customHeight="1">
      <c r="A2627" s="741"/>
      <c r="B2627" s="1185" t="s">
        <v>1566</v>
      </c>
      <c r="C2627" s="164"/>
      <c r="D2627" s="444"/>
      <c r="E2627" s="329"/>
      <c r="F2627" s="42"/>
      <c r="G2627" s="42"/>
      <c r="H2627" s="283"/>
      <c r="I2627" s="283"/>
      <c r="J2627" s="42"/>
      <c r="K2627" s="283"/>
      <c r="L2627" s="283"/>
      <c r="M2627" s="283"/>
      <c r="N2627" s="283"/>
      <c r="O2627" s="815"/>
      <c r="P2627" s="164"/>
      <c r="Q2627" s="529">
        <v>1200</v>
      </c>
      <c r="R2627" s="529">
        <v>1200</v>
      </c>
      <c r="S2627" s="1366" t="s">
        <v>6011</v>
      </c>
      <c r="T2627" s="1366"/>
      <c r="U2627" s="1366"/>
      <c r="V2627" s="546"/>
      <c r="W2627" s="42"/>
      <c r="X2627" s="16"/>
      <c r="Y2627" s="16"/>
    </row>
    <row r="2628" spans="1:25" s="709" customFormat="1" ht="16.5">
      <c r="A2628" s="741"/>
      <c r="B2628" s="1185" t="s">
        <v>1567</v>
      </c>
      <c r="C2628" s="164"/>
      <c r="D2628" s="444"/>
      <c r="E2628" s="329"/>
      <c r="F2628" s="42"/>
      <c r="G2628" s="42"/>
      <c r="H2628" s="283"/>
      <c r="I2628" s="283"/>
      <c r="J2628" s="42"/>
      <c r="K2628" s="283"/>
      <c r="L2628" s="283"/>
      <c r="M2628" s="283"/>
      <c r="N2628" s="283"/>
      <c r="O2628" s="815"/>
      <c r="P2628" s="164"/>
      <c r="Q2628" s="529">
        <v>400</v>
      </c>
      <c r="R2628" s="529">
        <v>400</v>
      </c>
      <c r="S2628" s="1366"/>
      <c r="T2628" s="1366"/>
      <c r="U2628" s="1366"/>
      <c r="V2628" s="546"/>
      <c r="W2628" s="42"/>
      <c r="X2628" s="16"/>
      <c r="Y2628" s="16"/>
    </row>
    <row r="2629" spans="1:25" s="709" customFormat="1" ht="16.5">
      <c r="A2629" s="741"/>
      <c r="B2629" s="1185" t="s">
        <v>1569</v>
      </c>
      <c r="C2629" s="164"/>
      <c r="D2629" s="444"/>
      <c r="E2629" s="329"/>
      <c r="F2629" s="42"/>
      <c r="G2629" s="42"/>
      <c r="H2629" s="283"/>
      <c r="I2629" s="283"/>
      <c r="J2629" s="42"/>
      <c r="K2629" s="283"/>
      <c r="L2629" s="283"/>
      <c r="M2629" s="283"/>
      <c r="N2629" s="283"/>
      <c r="O2629" s="815"/>
      <c r="P2629" s="164"/>
      <c r="Q2629" s="529">
        <v>400</v>
      </c>
      <c r="R2629" s="529">
        <v>400</v>
      </c>
      <c r="S2629" s="1366"/>
      <c r="T2629" s="1366"/>
      <c r="U2629" s="1366"/>
      <c r="V2629" s="546"/>
      <c r="W2629" s="42"/>
      <c r="X2629" s="16"/>
      <c r="Y2629" s="16"/>
    </row>
    <row r="2630" spans="1:25" s="709" customFormat="1" ht="16.5">
      <c r="A2630" s="741"/>
      <c r="B2630" s="1185" t="s">
        <v>1570</v>
      </c>
      <c r="C2630" s="164"/>
      <c r="D2630" s="444"/>
      <c r="E2630" s="329"/>
      <c r="F2630" s="42"/>
      <c r="G2630" s="42"/>
      <c r="H2630" s="283"/>
      <c r="I2630" s="283"/>
      <c r="J2630" s="42"/>
      <c r="K2630" s="283"/>
      <c r="L2630" s="283"/>
      <c r="M2630" s="283"/>
      <c r="N2630" s="283"/>
      <c r="O2630" s="815"/>
      <c r="P2630" s="164"/>
      <c r="Q2630" s="529">
        <v>400</v>
      </c>
      <c r="R2630" s="529">
        <v>400</v>
      </c>
      <c r="S2630" s="1366"/>
      <c r="T2630" s="1366"/>
      <c r="U2630" s="1366"/>
      <c r="V2630" s="546"/>
      <c r="W2630" s="42"/>
      <c r="X2630" s="16"/>
      <c r="Y2630" s="16"/>
    </row>
    <row r="2631" spans="1:25" s="709" customFormat="1" ht="16.5">
      <c r="A2631" s="741"/>
      <c r="B2631" s="1185" t="s">
        <v>1571</v>
      </c>
      <c r="C2631" s="164"/>
      <c r="D2631" s="444"/>
      <c r="E2631" s="329"/>
      <c r="F2631" s="42"/>
      <c r="G2631" s="42"/>
      <c r="H2631" s="283"/>
      <c r="I2631" s="283"/>
      <c r="J2631" s="42"/>
      <c r="K2631" s="283"/>
      <c r="L2631" s="283"/>
      <c r="M2631" s="283"/>
      <c r="N2631" s="283"/>
      <c r="O2631" s="815"/>
      <c r="P2631" s="164"/>
      <c r="Q2631" s="529">
        <v>400</v>
      </c>
      <c r="R2631" s="529">
        <v>400</v>
      </c>
      <c r="S2631" s="1366"/>
      <c r="T2631" s="1366"/>
      <c r="U2631" s="1366"/>
      <c r="V2631" s="546"/>
      <c r="W2631" s="42"/>
      <c r="X2631" s="16"/>
      <c r="Y2631" s="16"/>
    </row>
    <row r="2632" spans="1:25" s="709" customFormat="1" ht="16.5">
      <c r="A2632" s="741"/>
      <c r="B2632" s="1185" t="s">
        <v>1572</v>
      </c>
      <c r="C2632" s="164"/>
      <c r="D2632" s="444"/>
      <c r="E2632" s="329"/>
      <c r="F2632" s="42"/>
      <c r="G2632" s="42"/>
      <c r="H2632" s="283"/>
      <c r="I2632" s="283"/>
      <c r="J2632" s="42"/>
      <c r="K2632" s="283"/>
      <c r="L2632" s="283"/>
      <c r="M2632" s="283"/>
      <c r="N2632" s="283"/>
      <c r="O2632" s="815"/>
      <c r="P2632" s="164"/>
      <c r="Q2632" s="529">
        <v>400</v>
      </c>
      <c r="R2632" s="529">
        <v>400</v>
      </c>
      <c r="S2632" s="1366"/>
      <c r="T2632" s="1366"/>
      <c r="U2632" s="1366"/>
      <c r="V2632" s="546"/>
      <c r="W2632" s="42"/>
      <c r="X2632" s="16"/>
      <c r="Y2632" s="16"/>
    </row>
    <row r="2633" spans="1:25" s="709" customFormat="1" ht="16.5">
      <c r="A2633" s="741"/>
      <c r="B2633" s="1185" t="s">
        <v>1576</v>
      </c>
      <c r="C2633" s="164"/>
      <c r="D2633" s="444"/>
      <c r="E2633" s="329"/>
      <c r="F2633" s="42"/>
      <c r="G2633" s="42"/>
      <c r="H2633" s="283"/>
      <c r="I2633" s="283"/>
      <c r="J2633" s="42"/>
      <c r="K2633" s="283"/>
      <c r="L2633" s="283"/>
      <c r="M2633" s="283"/>
      <c r="N2633" s="283"/>
      <c r="O2633" s="815"/>
      <c r="P2633" s="164"/>
      <c r="Q2633" s="529">
        <v>600</v>
      </c>
      <c r="R2633" s="529">
        <v>600</v>
      </c>
      <c r="S2633" s="1366"/>
      <c r="T2633" s="1366"/>
      <c r="U2633" s="1366"/>
      <c r="V2633" s="546"/>
      <c r="W2633" s="42"/>
      <c r="X2633" s="16"/>
      <c r="Y2633" s="16"/>
    </row>
    <row r="2634" spans="1:25" s="709" customFormat="1" ht="16.5">
      <c r="A2634" s="741"/>
      <c r="B2634" s="1185" t="s">
        <v>1577</v>
      </c>
      <c r="C2634" s="164"/>
      <c r="D2634" s="444"/>
      <c r="E2634" s="329"/>
      <c r="F2634" s="42"/>
      <c r="G2634" s="42"/>
      <c r="H2634" s="283"/>
      <c r="I2634" s="283"/>
      <c r="J2634" s="42"/>
      <c r="K2634" s="283"/>
      <c r="L2634" s="283"/>
      <c r="M2634" s="283"/>
      <c r="N2634" s="283"/>
      <c r="O2634" s="815"/>
      <c r="P2634" s="164"/>
      <c r="Q2634" s="529">
        <v>600</v>
      </c>
      <c r="R2634" s="529">
        <v>600</v>
      </c>
      <c r="S2634" s="1366"/>
      <c r="T2634" s="1366"/>
      <c r="U2634" s="1366"/>
      <c r="V2634" s="546"/>
      <c r="W2634" s="42"/>
      <c r="X2634" s="16"/>
      <c r="Y2634" s="16"/>
    </row>
    <row r="2635" spans="1:25" s="709" customFormat="1" ht="16.5">
      <c r="A2635" s="741"/>
      <c r="B2635" s="1185" t="s">
        <v>1578</v>
      </c>
      <c r="C2635" s="164"/>
      <c r="D2635" s="444"/>
      <c r="E2635" s="329"/>
      <c r="F2635" s="42"/>
      <c r="G2635" s="42"/>
      <c r="H2635" s="283"/>
      <c r="I2635" s="283"/>
      <c r="J2635" s="42"/>
      <c r="K2635" s="283"/>
      <c r="L2635" s="283"/>
      <c r="M2635" s="283"/>
      <c r="N2635" s="283"/>
      <c r="O2635" s="815"/>
      <c r="P2635" s="164"/>
      <c r="Q2635" s="529">
        <v>600</v>
      </c>
      <c r="R2635" s="529">
        <v>600</v>
      </c>
      <c r="S2635" s="1366"/>
      <c r="T2635" s="1366"/>
      <c r="U2635" s="1366"/>
      <c r="V2635" s="546"/>
      <c r="W2635" s="42"/>
      <c r="X2635" s="16"/>
      <c r="Y2635" s="16"/>
    </row>
    <row r="2636" spans="1:25" s="709" customFormat="1" ht="16.5">
      <c r="A2636" s="741"/>
      <c r="B2636" s="1185" t="s">
        <v>1579</v>
      </c>
      <c r="C2636" s="164"/>
      <c r="D2636" s="444"/>
      <c r="E2636" s="329"/>
      <c r="F2636" s="42"/>
      <c r="G2636" s="42"/>
      <c r="H2636" s="283"/>
      <c r="I2636" s="283"/>
      <c r="J2636" s="42"/>
      <c r="K2636" s="283"/>
      <c r="L2636" s="283"/>
      <c r="M2636" s="283"/>
      <c r="N2636" s="283"/>
      <c r="O2636" s="815"/>
      <c r="P2636" s="164"/>
      <c r="Q2636" s="529">
        <v>300</v>
      </c>
      <c r="R2636" s="529">
        <v>300</v>
      </c>
      <c r="S2636" s="1366"/>
      <c r="T2636" s="1366"/>
      <c r="U2636" s="1366"/>
      <c r="V2636" s="546"/>
      <c r="W2636" s="42"/>
      <c r="X2636" s="16"/>
      <c r="Y2636" s="16"/>
    </row>
    <row r="2637" spans="1:25" s="709" customFormat="1" ht="16.5">
      <c r="A2637" s="741"/>
      <c r="B2637" s="1185" t="s">
        <v>1580</v>
      </c>
      <c r="C2637" s="164"/>
      <c r="D2637" s="444"/>
      <c r="E2637" s="329"/>
      <c r="F2637" s="42"/>
      <c r="G2637" s="42"/>
      <c r="H2637" s="283"/>
      <c r="I2637" s="283"/>
      <c r="J2637" s="42"/>
      <c r="K2637" s="283"/>
      <c r="L2637" s="283"/>
      <c r="M2637" s="283"/>
      <c r="N2637" s="283"/>
      <c r="O2637" s="815"/>
      <c r="P2637" s="164"/>
      <c r="Q2637" s="529">
        <v>600</v>
      </c>
      <c r="R2637" s="529">
        <v>600</v>
      </c>
      <c r="S2637" s="1366"/>
      <c r="T2637" s="1366"/>
      <c r="U2637" s="1366"/>
      <c r="V2637" s="546"/>
      <c r="W2637" s="42"/>
      <c r="X2637" s="16"/>
      <c r="Y2637" s="16"/>
    </row>
    <row r="2638" spans="1:25" s="709" customFormat="1" ht="16.5">
      <c r="A2638" s="741"/>
      <c r="B2638" s="1185" t="s">
        <v>2581</v>
      </c>
      <c r="C2638" s="164"/>
      <c r="D2638" s="444"/>
      <c r="E2638" s="329"/>
      <c r="F2638" s="42"/>
      <c r="G2638" s="42"/>
      <c r="H2638" s="283"/>
      <c r="I2638" s="283"/>
      <c r="J2638" s="42"/>
      <c r="K2638" s="283"/>
      <c r="L2638" s="283"/>
      <c r="M2638" s="283"/>
      <c r="N2638" s="283"/>
      <c r="O2638" s="815"/>
      <c r="P2638" s="164"/>
      <c r="Q2638" s="529">
        <v>300</v>
      </c>
      <c r="R2638" s="529">
        <v>300</v>
      </c>
      <c r="S2638" s="1366"/>
      <c r="T2638" s="1366"/>
      <c r="U2638" s="1366"/>
      <c r="V2638" s="546"/>
      <c r="W2638" s="42"/>
      <c r="X2638" s="16"/>
      <c r="Y2638" s="16"/>
    </row>
    <row r="2639" spans="1:25" s="709" customFormat="1" ht="16.5">
      <c r="A2639" s="741"/>
      <c r="B2639" s="1185" t="s">
        <v>1582</v>
      </c>
      <c r="C2639" s="164"/>
      <c r="D2639" s="444"/>
      <c r="E2639" s="329"/>
      <c r="F2639" s="42"/>
      <c r="G2639" s="42"/>
      <c r="H2639" s="283"/>
      <c r="I2639" s="283"/>
      <c r="J2639" s="42"/>
      <c r="K2639" s="283"/>
      <c r="L2639" s="283"/>
      <c r="M2639" s="283"/>
      <c r="N2639" s="283"/>
      <c r="O2639" s="815"/>
      <c r="P2639" s="164"/>
      <c r="Q2639" s="529">
        <v>750</v>
      </c>
      <c r="R2639" s="529">
        <v>750</v>
      </c>
      <c r="S2639" s="1366"/>
      <c r="T2639" s="1366"/>
      <c r="U2639" s="1366"/>
      <c r="V2639" s="546"/>
      <c r="W2639" s="42"/>
      <c r="X2639" s="16"/>
      <c r="Y2639" s="16"/>
    </row>
    <row r="2640" spans="1:25" s="709" customFormat="1" ht="16.5">
      <c r="A2640" s="741"/>
      <c r="B2640" s="1185" t="s">
        <v>1583</v>
      </c>
      <c r="C2640" s="164"/>
      <c r="D2640" s="444"/>
      <c r="E2640" s="329"/>
      <c r="F2640" s="42"/>
      <c r="G2640" s="42"/>
      <c r="H2640" s="283"/>
      <c r="I2640" s="283"/>
      <c r="J2640" s="42"/>
      <c r="K2640" s="283"/>
      <c r="L2640" s="283"/>
      <c r="M2640" s="283"/>
      <c r="N2640" s="283"/>
      <c r="O2640" s="815"/>
      <c r="P2640" s="164"/>
      <c r="Q2640" s="529">
        <v>250</v>
      </c>
      <c r="R2640" s="529">
        <v>250</v>
      </c>
      <c r="S2640" s="1366"/>
      <c r="T2640" s="1366"/>
      <c r="U2640" s="1366"/>
      <c r="V2640" s="546"/>
      <c r="W2640" s="42"/>
      <c r="X2640" s="16"/>
      <c r="Y2640" s="16"/>
    </row>
    <row r="2641" spans="1:25" s="709" customFormat="1" ht="16.5">
      <c r="A2641" s="741"/>
      <c r="B2641" s="1185" t="s">
        <v>1584</v>
      </c>
      <c r="C2641" s="164"/>
      <c r="D2641" s="444"/>
      <c r="E2641" s="329"/>
      <c r="F2641" s="42"/>
      <c r="G2641" s="42"/>
      <c r="H2641" s="283"/>
      <c r="I2641" s="283"/>
      <c r="J2641" s="42"/>
      <c r="K2641" s="283"/>
      <c r="L2641" s="283"/>
      <c r="M2641" s="283"/>
      <c r="N2641" s="283"/>
      <c r="O2641" s="815"/>
      <c r="P2641" s="164"/>
      <c r="Q2641" s="529">
        <v>300</v>
      </c>
      <c r="R2641" s="529">
        <v>300</v>
      </c>
      <c r="S2641" s="1366"/>
      <c r="T2641" s="1366"/>
      <c r="U2641" s="1366"/>
      <c r="V2641" s="546"/>
      <c r="W2641" s="42"/>
      <c r="X2641" s="16"/>
      <c r="Y2641" s="16"/>
    </row>
    <row r="2642" spans="1:25" s="709" customFormat="1" ht="16.5">
      <c r="A2642" s="741"/>
      <c r="B2642" s="1185" t="s">
        <v>1585</v>
      </c>
      <c r="C2642" s="164"/>
      <c r="D2642" s="444"/>
      <c r="E2642" s="329"/>
      <c r="F2642" s="42"/>
      <c r="G2642" s="42"/>
      <c r="H2642" s="283"/>
      <c r="I2642" s="283"/>
      <c r="J2642" s="42"/>
      <c r="K2642" s="283"/>
      <c r="L2642" s="283"/>
      <c r="M2642" s="283"/>
      <c r="N2642" s="283"/>
      <c r="O2642" s="815"/>
      <c r="P2642" s="164"/>
      <c r="Q2642" s="529">
        <v>300</v>
      </c>
      <c r="R2642" s="529">
        <v>300</v>
      </c>
      <c r="S2642" s="1366"/>
      <c r="T2642" s="1366"/>
      <c r="U2642" s="1366"/>
      <c r="V2642" s="546"/>
      <c r="W2642" s="42"/>
      <c r="X2642" s="16"/>
      <c r="Y2642" s="16"/>
    </row>
    <row r="2643" spans="1:25" s="709" customFormat="1" ht="16.5">
      <c r="A2643" s="741"/>
      <c r="B2643" s="1185" t="s">
        <v>1586</v>
      </c>
      <c r="C2643" s="164"/>
      <c r="D2643" s="444"/>
      <c r="E2643" s="329"/>
      <c r="F2643" s="42"/>
      <c r="G2643" s="42"/>
      <c r="H2643" s="283"/>
      <c r="I2643" s="283"/>
      <c r="J2643" s="42"/>
      <c r="K2643" s="283"/>
      <c r="L2643" s="283"/>
      <c r="M2643" s="283"/>
      <c r="N2643" s="283"/>
      <c r="O2643" s="815"/>
      <c r="P2643" s="164"/>
      <c r="Q2643" s="529">
        <v>300</v>
      </c>
      <c r="R2643" s="529">
        <v>300</v>
      </c>
      <c r="S2643" s="1366"/>
      <c r="T2643" s="1366"/>
      <c r="U2643" s="1366"/>
      <c r="V2643" s="546"/>
      <c r="W2643" s="42"/>
      <c r="X2643" s="16"/>
      <c r="Y2643" s="16"/>
    </row>
    <row r="2644" spans="1:25" s="709" customFormat="1" ht="16.5">
      <c r="A2644" s="741"/>
      <c r="B2644" s="1185" t="s">
        <v>2582</v>
      </c>
      <c r="C2644" s="164"/>
      <c r="D2644" s="444"/>
      <c r="E2644" s="329"/>
      <c r="F2644" s="42"/>
      <c r="G2644" s="42"/>
      <c r="H2644" s="283"/>
      <c r="I2644" s="283"/>
      <c r="J2644" s="42"/>
      <c r="K2644" s="283"/>
      <c r="L2644" s="283"/>
      <c r="M2644" s="283"/>
      <c r="N2644" s="283"/>
      <c r="O2644" s="815"/>
      <c r="P2644" s="164"/>
      <c r="Q2644" s="529">
        <v>250</v>
      </c>
      <c r="R2644" s="529">
        <v>250</v>
      </c>
      <c r="S2644" s="1366"/>
      <c r="T2644" s="1366"/>
      <c r="U2644" s="1366"/>
      <c r="V2644" s="546"/>
      <c r="W2644" s="42"/>
      <c r="X2644" s="16"/>
      <c r="Y2644" s="16"/>
    </row>
    <row r="2645" spans="1:25" s="709" customFormat="1" ht="16.5">
      <c r="A2645" s="741"/>
      <c r="B2645" s="1185" t="s">
        <v>1587</v>
      </c>
      <c r="C2645" s="164"/>
      <c r="D2645" s="444"/>
      <c r="E2645" s="329"/>
      <c r="F2645" s="42"/>
      <c r="G2645" s="42"/>
      <c r="H2645" s="283"/>
      <c r="I2645" s="283"/>
      <c r="J2645" s="42"/>
      <c r="K2645" s="283"/>
      <c r="L2645" s="283"/>
      <c r="M2645" s="283"/>
      <c r="N2645" s="283"/>
      <c r="O2645" s="815"/>
      <c r="P2645" s="164"/>
      <c r="Q2645" s="529">
        <v>300</v>
      </c>
      <c r="R2645" s="529">
        <v>300</v>
      </c>
      <c r="S2645" s="1366"/>
      <c r="T2645" s="1366"/>
      <c r="U2645" s="1366"/>
      <c r="V2645" s="546"/>
      <c r="W2645" s="42"/>
      <c r="X2645" s="16"/>
      <c r="Y2645" s="16"/>
    </row>
    <row r="2646" spans="1:25" s="709" customFormat="1" ht="16.5">
      <c r="A2646" s="741"/>
      <c r="B2646" s="1185" t="s">
        <v>1588</v>
      </c>
      <c r="C2646" s="164"/>
      <c r="D2646" s="444"/>
      <c r="E2646" s="329"/>
      <c r="F2646" s="42"/>
      <c r="G2646" s="42"/>
      <c r="H2646" s="283"/>
      <c r="I2646" s="283"/>
      <c r="J2646" s="42"/>
      <c r="K2646" s="283"/>
      <c r="L2646" s="283"/>
      <c r="M2646" s="283"/>
      <c r="N2646" s="283"/>
      <c r="O2646" s="815"/>
      <c r="P2646" s="164"/>
      <c r="Q2646" s="529">
        <v>1150</v>
      </c>
      <c r="R2646" s="529">
        <v>1150</v>
      </c>
      <c r="S2646" s="1366"/>
      <c r="T2646" s="1366"/>
      <c r="U2646" s="1366"/>
      <c r="V2646" s="546"/>
      <c r="W2646" s="42"/>
      <c r="X2646" s="16"/>
      <c r="Y2646" s="16"/>
    </row>
    <row r="2647" spans="1:25" s="709" customFormat="1" ht="16.5">
      <c r="A2647" s="741"/>
      <c r="B2647" s="1185" t="s">
        <v>1589</v>
      </c>
      <c r="C2647" s="164"/>
      <c r="D2647" s="444"/>
      <c r="E2647" s="329"/>
      <c r="F2647" s="42"/>
      <c r="G2647" s="42"/>
      <c r="H2647" s="283"/>
      <c r="I2647" s="283"/>
      <c r="J2647" s="42"/>
      <c r="K2647" s="283"/>
      <c r="L2647" s="283"/>
      <c r="M2647" s="283"/>
      <c r="N2647" s="283"/>
      <c r="O2647" s="815"/>
      <c r="P2647" s="164"/>
      <c r="Q2647" s="529">
        <v>200</v>
      </c>
      <c r="R2647" s="529">
        <v>200</v>
      </c>
      <c r="S2647" s="1366"/>
      <c r="T2647" s="1366"/>
      <c r="U2647" s="1366"/>
      <c r="V2647" s="546"/>
      <c r="W2647" s="42"/>
      <c r="X2647" s="16"/>
      <c r="Y2647" s="16"/>
    </row>
    <row r="2648" spans="1:25" s="709" customFormat="1" ht="16.5">
      <c r="A2648" s="741"/>
      <c r="B2648" s="545"/>
      <c r="C2648" s="164"/>
      <c r="D2648" s="444"/>
      <c r="E2648" s="647"/>
      <c r="F2648" s="42"/>
      <c r="G2648" s="42"/>
      <c r="H2648" s="283"/>
      <c r="I2648" s="283"/>
      <c r="J2648" s="42"/>
      <c r="K2648" s="283"/>
      <c r="L2648" s="283"/>
      <c r="M2648" s="283"/>
      <c r="N2648" s="283"/>
      <c r="O2648" s="815"/>
      <c r="P2648" s="164"/>
      <c r="Q2648" s="351"/>
      <c r="R2648" s="351"/>
      <c r="S2648" s="933"/>
      <c r="T2648" s="933"/>
      <c r="U2648" s="933"/>
      <c r="V2648" s="546"/>
      <c r="W2648" s="42"/>
      <c r="X2648" s="16"/>
      <c r="Y2648" s="16"/>
    </row>
    <row r="2649" spans="1:25" s="709" customFormat="1" ht="16.5">
      <c r="A2649" s="741"/>
      <c r="B2649" s="545" t="s">
        <v>340</v>
      </c>
      <c r="C2649" s="164" t="s">
        <v>2584</v>
      </c>
      <c r="D2649" s="444">
        <v>41016</v>
      </c>
      <c r="E2649" s="647"/>
      <c r="F2649" s="42" t="s">
        <v>2583</v>
      </c>
      <c r="G2649" s="42"/>
      <c r="H2649" s="283"/>
      <c r="I2649" s="283"/>
      <c r="J2649" s="42"/>
      <c r="K2649" s="283">
        <v>5000</v>
      </c>
      <c r="L2649" s="283"/>
      <c r="M2649" s="283">
        <f t="shared" ref="M2649:M2655" si="403">SUM(K2649:L2649)</f>
        <v>5000</v>
      </c>
      <c r="N2649" s="283"/>
      <c r="O2649" s="815"/>
      <c r="P2649" s="164" t="s">
        <v>103</v>
      </c>
      <c r="Q2649" s="524">
        <v>5000</v>
      </c>
      <c r="R2649" s="524">
        <v>5000</v>
      </c>
      <c r="S2649" s="877" t="s">
        <v>2585</v>
      </c>
      <c r="T2649" s="933"/>
      <c r="U2649" s="933"/>
      <c r="V2649" s="532"/>
      <c r="W2649" s="42" t="s">
        <v>930</v>
      </c>
      <c r="X2649" s="16">
        <f t="shared" ref="X2649:X2655" si="404">SUM(J2649:L2649)</f>
        <v>5000</v>
      </c>
      <c r="Y2649" s="16">
        <f t="shared" ref="Y2649:Y2655" si="405">X2649-M2649</f>
        <v>0</v>
      </c>
    </row>
    <row r="2650" spans="1:25" s="709" customFormat="1" ht="16.5">
      <c r="A2650" s="741"/>
      <c r="B2650" s="545" t="s">
        <v>331</v>
      </c>
      <c r="C2650" s="164" t="s">
        <v>2590</v>
      </c>
      <c r="D2650" s="444">
        <v>41016</v>
      </c>
      <c r="E2650" s="647"/>
      <c r="F2650" s="42" t="s">
        <v>1698</v>
      </c>
      <c r="G2650" s="42"/>
      <c r="H2650" s="283"/>
      <c r="I2650" s="283"/>
      <c r="J2650" s="42"/>
      <c r="K2650" s="283">
        <v>10000</v>
      </c>
      <c r="L2650" s="283"/>
      <c r="M2650" s="283">
        <f t="shared" si="403"/>
        <v>10000</v>
      </c>
      <c r="N2650" s="283"/>
      <c r="O2650" s="815"/>
      <c r="P2650" s="164" t="s">
        <v>103</v>
      </c>
      <c r="Q2650" s="524">
        <v>10000</v>
      </c>
      <c r="R2650" s="524">
        <v>10000</v>
      </c>
      <c r="S2650" s="933"/>
      <c r="T2650" s="933"/>
      <c r="U2650" s="933"/>
      <c r="V2650" s="532"/>
      <c r="W2650" s="42" t="s">
        <v>930</v>
      </c>
      <c r="X2650" s="16">
        <f t="shared" si="404"/>
        <v>10000</v>
      </c>
      <c r="Y2650" s="16">
        <f t="shared" si="405"/>
        <v>0</v>
      </c>
    </row>
    <row r="2651" spans="1:25" s="709" customFormat="1" ht="16.5">
      <c r="A2651" s="741"/>
      <c r="B2651" s="545" t="s">
        <v>331</v>
      </c>
      <c r="C2651" s="164" t="s">
        <v>2592</v>
      </c>
      <c r="D2651" s="444">
        <v>41016</v>
      </c>
      <c r="E2651" s="647"/>
      <c r="F2651" s="42" t="s">
        <v>2591</v>
      </c>
      <c r="G2651" s="42"/>
      <c r="H2651" s="283"/>
      <c r="I2651" s="283"/>
      <c r="J2651" s="42"/>
      <c r="K2651" s="283">
        <v>3000</v>
      </c>
      <c r="L2651" s="283"/>
      <c r="M2651" s="283">
        <f t="shared" si="403"/>
        <v>3000</v>
      </c>
      <c r="N2651" s="283"/>
      <c r="O2651" s="815"/>
      <c r="P2651" s="164" t="s">
        <v>103</v>
      </c>
      <c r="Q2651" s="524">
        <v>3000</v>
      </c>
      <c r="R2651" s="524">
        <v>3000</v>
      </c>
      <c r="S2651" s="933"/>
      <c r="T2651" s="933"/>
      <c r="U2651" s="933"/>
      <c r="V2651" s="532"/>
      <c r="W2651" s="42" t="s">
        <v>930</v>
      </c>
      <c r="X2651" s="16">
        <f t="shared" si="404"/>
        <v>3000</v>
      </c>
      <c r="Y2651" s="16">
        <f t="shared" si="405"/>
        <v>0</v>
      </c>
    </row>
    <row r="2652" spans="1:25" s="709" customFormat="1" ht="16.5">
      <c r="A2652" s="741"/>
      <c r="B2652" s="545" t="s">
        <v>331</v>
      </c>
      <c r="C2652" s="164" t="s">
        <v>2594</v>
      </c>
      <c r="D2652" s="444">
        <v>41016</v>
      </c>
      <c r="E2652" s="647"/>
      <c r="F2652" s="42" t="s">
        <v>2593</v>
      </c>
      <c r="G2652" s="42"/>
      <c r="H2652" s="283"/>
      <c r="I2652" s="283"/>
      <c r="J2652" s="42"/>
      <c r="K2652" s="283">
        <v>9300</v>
      </c>
      <c r="L2652" s="283"/>
      <c r="M2652" s="283">
        <f t="shared" si="403"/>
        <v>9300</v>
      </c>
      <c r="N2652" s="283"/>
      <c r="O2652" s="815"/>
      <c r="P2652" s="164" t="s">
        <v>103</v>
      </c>
      <c r="Q2652" s="524">
        <v>9300</v>
      </c>
      <c r="R2652" s="524">
        <v>9300</v>
      </c>
      <c r="S2652" s="933"/>
      <c r="T2652" s="933"/>
      <c r="U2652" s="933"/>
      <c r="V2652" s="532"/>
      <c r="W2652" s="42" t="s">
        <v>930</v>
      </c>
      <c r="X2652" s="16">
        <f t="shared" si="404"/>
        <v>9300</v>
      </c>
      <c r="Y2652" s="16">
        <f t="shared" si="405"/>
        <v>0</v>
      </c>
    </row>
    <row r="2653" spans="1:25" s="709" customFormat="1" ht="16.5">
      <c r="A2653" s="741"/>
      <c r="B2653" s="545" t="s">
        <v>314</v>
      </c>
      <c r="C2653" s="164" t="s">
        <v>2596</v>
      </c>
      <c r="D2653" s="444">
        <v>41016</v>
      </c>
      <c r="E2653" s="647"/>
      <c r="F2653" s="42" t="s">
        <v>2595</v>
      </c>
      <c r="G2653" s="42"/>
      <c r="H2653" s="283"/>
      <c r="I2653" s="283"/>
      <c r="J2653" s="42"/>
      <c r="K2653" s="283">
        <v>4700</v>
      </c>
      <c r="L2653" s="283"/>
      <c r="M2653" s="283">
        <f t="shared" si="403"/>
        <v>4700</v>
      </c>
      <c r="N2653" s="283"/>
      <c r="O2653" s="815"/>
      <c r="P2653" s="164" t="s">
        <v>103</v>
      </c>
      <c r="Q2653" s="524">
        <v>4700</v>
      </c>
      <c r="R2653" s="524">
        <v>4700</v>
      </c>
      <c r="S2653" s="933"/>
      <c r="T2653" s="933"/>
      <c r="U2653" s="933"/>
      <c r="V2653" s="532"/>
      <c r="W2653" s="42" t="s">
        <v>930</v>
      </c>
      <c r="X2653" s="16">
        <f t="shared" si="404"/>
        <v>4700</v>
      </c>
      <c r="Y2653" s="16">
        <f t="shared" si="405"/>
        <v>0</v>
      </c>
    </row>
    <row r="2654" spans="1:25" s="709" customFormat="1" ht="16.5">
      <c r="A2654" s="741"/>
      <c r="B2654" s="545" t="s">
        <v>321</v>
      </c>
      <c r="C2654" s="164" t="s">
        <v>2597</v>
      </c>
      <c r="D2654" s="444">
        <v>41016</v>
      </c>
      <c r="E2654" s="647"/>
      <c r="F2654" s="42" t="s">
        <v>1598</v>
      </c>
      <c r="G2654" s="42"/>
      <c r="H2654" s="283"/>
      <c r="I2654" s="283"/>
      <c r="J2654" s="42"/>
      <c r="K2654" s="283">
        <v>7700</v>
      </c>
      <c r="L2654" s="283"/>
      <c r="M2654" s="283">
        <f t="shared" si="403"/>
        <v>7700</v>
      </c>
      <c r="N2654" s="283"/>
      <c r="O2654" s="815"/>
      <c r="P2654" s="164" t="s">
        <v>103</v>
      </c>
      <c r="Q2654" s="524">
        <v>7700</v>
      </c>
      <c r="R2654" s="524">
        <v>7700</v>
      </c>
      <c r="S2654" s="933"/>
      <c r="T2654" s="933"/>
      <c r="U2654" s="933"/>
      <c r="V2654" s="532"/>
      <c r="W2654" s="42" t="s">
        <v>930</v>
      </c>
      <c r="X2654" s="16">
        <f t="shared" si="404"/>
        <v>7700</v>
      </c>
      <c r="Y2654" s="16">
        <f t="shared" si="405"/>
        <v>0</v>
      </c>
    </row>
    <row r="2655" spans="1:25" s="709" customFormat="1" ht="16.5">
      <c r="A2655" s="741"/>
      <c r="B2655" s="545" t="s">
        <v>308</v>
      </c>
      <c r="C2655" s="164" t="s">
        <v>2598</v>
      </c>
      <c r="D2655" s="444">
        <v>41016</v>
      </c>
      <c r="E2655" s="647"/>
      <c r="F2655" s="42" t="s">
        <v>315</v>
      </c>
      <c r="G2655" s="42"/>
      <c r="H2655" s="283"/>
      <c r="I2655" s="283"/>
      <c r="J2655" s="42"/>
      <c r="K2655" s="283">
        <v>1000</v>
      </c>
      <c r="L2655" s="283"/>
      <c r="M2655" s="283">
        <f t="shared" si="403"/>
        <v>1000</v>
      </c>
      <c r="N2655" s="283"/>
      <c r="O2655" s="815"/>
      <c r="P2655" s="164" t="s">
        <v>103</v>
      </c>
      <c r="Q2655" s="541">
        <f>SUM(Q2656:Q2658)</f>
        <v>1000</v>
      </c>
      <c r="R2655" s="541">
        <f>SUM(R2656:R2658)</f>
        <v>1000</v>
      </c>
      <c r="S2655" s="933"/>
      <c r="T2655" s="933"/>
      <c r="U2655" s="933"/>
      <c r="V2655" s="532"/>
      <c r="W2655" s="42" t="s">
        <v>930</v>
      </c>
      <c r="X2655" s="16">
        <f t="shared" si="404"/>
        <v>1000</v>
      </c>
      <c r="Y2655" s="16">
        <f t="shared" si="405"/>
        <v>0</v>
      </c>
    </row>
    <row r="2656" spans="1:25" s="709" customFormat="1" ht="27" customHeight="1">
      <c r="A2656" s="741"/>
      <c r="B2656" s="530" t="s">
        <v>2599</v>
      </c>
      <c r="C2656" s="164"/>
      <c r="D2656" s="444"/>
      <c r="E2656" s="784"/>
      <c r="F2656" s="42"/>
      <c r="G2656" s="42"/>
      <c r="H2656" s="283"/>
      <c r="I2656" s="283"/>
      <c r="J2656" s="42"/>
      <c r="K2656" s="283"/>
      <c r="L2656" s="283"/>
      <c r="M2656" s="283"/>
      <c r="N2656" s="283"/>
      <c r="O2656" s="815"/>
      <c r="P2656" s="164"/>
      <c r="Q2656" s="529">
        <v>350</v>
      </c>
      <c r="R2656" s="529">
        <v>350</v>
      </c>
      <c r="S2656" s="1373" t="s">
        <v>4633</v>
      </c>
      <c r="T2656" s="1373"/>
      <c r="U2656" s="1373"/>
      <c r="V2656" s="532"/>
      <c r="W2656" s="42"/>
      <c r="X2656" s="16"/>
      <c r="Y2656" s="16"/>
    </row>
    <row r="2657" spans="1:25" s="709" customFormat="1" ht="33" customHeight="1">
      <c r="A2657" s="741"/>
      <c r="B2657" s="530" t="s">
        <v>2600</v>
      </c>
      <c r="C2657" s="164"/>
      <c r="D2657" s="444"/>
      <c r="E2657" s="784"/>
      <c r="F2657" s="42"/>
      <c r="G2657" s="42"/>
      <c r="H2657" s="283"/>
      <c r="I2657" s="283"/>
      <c r="J2657" s="42"/>
      <c r="K2657" s="283"/>
      <c r="L2657" s="283"/>
      <c r="M2657" s="283"/>
      <c r="N2657" s="283"/>
      <c r="O2657" s="815"/>
      <c r="P2657" s="164"/>
      <c r="Q2657" s="529">
        <v>350</v>
      </c>
      <c r="R2657" s="529">
        <v>350</v>
      </c>
      <c r="S2657" s="1346" t="s">
        <v>4632</v>
      </c>
      <c r="T2657" s="1346"/>
      <c r="U2657" s="1346"/>
      <c r="V2657" s="532"/>
      <c r="W2657" s="42"/>
      <c r="X2657" s="16"/>
      <c r="Y2657" s="16"/>
    </row>
    <row r="2658" spans="1:25" s="709" customFormat="1" ht="30.75" customHeight="1">
      <c r="A2658" s="741"/>
      <c r="B2658" s="530" t="s">
        <v>2601</v>
      </c>
      <c r="C2658" s="164"/>
      <c r="D2658" s="444"/>
      <c r="E2658" s="784"/>
      <c r="F2658" s="42"/>
      <c r="G2658" s="42"/>
      <c r="H2658" s="283"/>
      <c r="I2658" s="283"/>
      <c r="J2658" s="42"/>
      <c r="K2658" s="283"/>
      <c r="L2658" s="283"/>
      <c r="M2658" s="283"/>
      <c r="N2658" s="283"/>
      <c r="O2658" s="815"/>
      <c r="P2658" s="164"/>
      <c r="Q2658" s="529">
        <v>300</v>
      </c>
      <c r="R2658" s="529">
        <v>300</v>
      </c>
      <c r="S2658" s="1346"/>
      <c r="T2658" s="1346"/>
      <c r="U2658" s="1346"/>
      <c r="V2658" s="532"/>
      <c r="W2658" s="42"/>
      <c r="X2658" s="16"/>
      <c r="Y2658" s="16"/>
    </row>
    <row r="2659" spans="1:25" s="709" customFormat="1" ht="16.5">
      <c r="A2659" s="741"/>
      <c r="B2659" s="545"/>
      <c r="C2659" s="164"/>
      <c r="D2659" s="444"/>
      <c r="E2659" s="647"/>
      <c r="F2659" s="42"/>
      <c r="G2659" s="42"/>
      <c r="H2659" s="283"/>
      <c r="I2659" s="283"/>
      <c r="J2659" s="42"/>
      <c r="K2659" s="283"/>
      <c r="L2659" s="283"/>
      <c r="M2659" s="283"/>
      <c r="N2659" s="283"/>
      <c r="O2659" s="815"/>
      <c r="P2659" s="164"/>
      <c r="Q2659" s="351"/>
      <c r="R2659" s="351"/>
      <c r="S2659" s="933"/>
      <c r="T2659" s="933"/>
      <c r="U2659" s="933"/>
      <c r="V2659" s="532"/>
      <c r="W2659" s="42"/>
      <c r="X2659" s="16"/>
      <c r="Y2659" s="16"/>
    </row>
    <row r="2660" spans="1:25" s="709" customFormat="1" ht="75" customHeight="1">
      <c r="A2660" s="741"/>
      <c r="B2660" s="545" t="s">
        <v>311</v>
      </c>
      <c r="C2660" s="164" t="s">
        <v>2602</v>
      </c>
      <c r="D2660" s="444">
        <v>41016</v>
      </c>
      <c r="E2660" s="647"/>
      <c r="F2660" s="42" t="s">
        <v>315</v>
      </c>
      <c r="G2660" s="42"/>
      <c r="H2660" s="283"/>
      <c r="I2660" s="283"/>
      <c r="J2660" s="42"/>
      <c r="K2660" s="283">
        <v>2650</v>
      </c>
      <c r="L2660" s="283"/>
      <c r="M2660" s="283">
        <f t="shared" ref="M2660:M2690" si="406">SUM(K2660:L2660)</f>
        <v>2650</v>
      </c>
      <c r="N2660" s="283"/>
      <c r="O2660" s="815"/>
      <c r="P2660" s="164" t="s">
        <v>103</v>
      </c>
      <c r="Q2660" s="547">
        <f>SUM(Q2661:Q2675)</f>
        <v>2650</v>
      </c>
      <c r="R2660" s="547">
        <f>SUM(R2661:R2675)</f>
        <v>2648</v>
      </c>
      <c r="S2660" s="1328" t="s">
        <v>5292</v>
      </c>
      <c r="T2660" s="1328"/>
      <c r="U2660" s="1328"/>
      <c r="V2660" s="532"/>
      <c r="W2660" s="42" t="s">
        <v>930</v>
      </c>
      <c r="X2660" s="16">
        <f t="shared" ref="X2660:X2690" si="407">SUM(J2660:L2660)</f>
        <v>2650</v>
      </c>
      <c r="Y2660" s="16">
        <f>X2660-M2660</f>
        <v>0</v>
      </c>
    </row>
    <row r="2661" spans="1:25" s="709" customFormat="1" ht="16.5">
      <c r="A2661" s="741"/>
      <c r="B2661" s="545" t="s">
        <v>5125</v>
      </c>
      <c r="C2661" s="164"/>
      <c r="D2661" s="444"/>
      <c r="E2661" s="647"/>
      <c r="F2661" s="42"/>
      <c r="G2661" s="42"/>
      <c r="H2661" s="283"/>
      <c r="I2661" s="283"/>
      <c r="J2661" s="42"/>
      <c r="K2661" s="791"/>
      <c r="L2661" s="283"/>
      <c r="M2661" s="283">
        <f t="shared" ref="M2661:M2675" si="408">SUM(K2661:L2661)</f>
        <v>0</v>
      </c>
      <c r="N2661" s="283"/>
      <c r="O2661" s="815"/>
      <c r="P2661" s="164"/>
      <c r="Q2661" s="351">
        <v>200</v>
      </c>
      <c r="R2661" s="351">
        <v>200</v>
      </c>
      <c r="S2661" s="1111" t="s">
        <v>5289</v>
      </c>
      <c r="T2661" s="933"/>
      <c r="U2661" s="933"/>
      <c r="V2661" s="532"/>
      <c r="W2661" s="42"/>
      <c r="X2661" s="16"/>
      <c r="Y2661" s="16"/>
    </row>
    <row r="2662" spans="1:25" s="709" customFormat="1" ht="16.5">
      <c r="A2662" s="741"/>
      <c r="B2662" s="545" t="s">
        <v>5279</v>
      </c>
      <c r="C2662" s="164"/>
      <c r="D2662" s="444"/>
      <c r="E2662" s="647"/>
      <c r="F2662" s="42"/>
      <c r="G2662" s="42"/>
      <c r="H2662" s="283"/>
      <c r="I2662" s="283"/>
      <c r="J2662" s="42"/>
      <c r="K2662" s="791"/>
      <c r="L2662" s="283"/>
      <c r="M2662" s="283">
        <f t="shared" si="408"/>
        <v>0</v>
      </c>
      <c r="N2662" s="283"/>
      <c r="O2662" s="815"/>
      <c r="P2662" s="164"/>
      <c r="Q2662" s="351">
        <v>150</v>
      </c>
      <c r="R2662" s="351">
        <v>150</v>
      </c>
      <c r="S2662" s="1111" t="s">
        <v>5290</v>
      </c>
      <c r="T2662" s="933"/>
      <c r="U2662" s="933"/>
      <c r="V2662" s="532"/>
      <c r="W2662" s="42"/>
      <c r="X2662" s="16"/>
      <c r="Y2662" s="16"/>
    </row>
    <row r="2663" spans="1:25" s="709" customFormat="1" ht="16.5">
      <c r="A2663" s="741"/>
      <c r="B2663" s="545" t="s">
        <v>5280</v>
      </c>
      <c r="C2663" s="164"/>
      <c r="D2663" s="444"/>
      <c r="E2663" s="647"/>
      <c r="F2663" s="42"/>
      <c r="G2663" s="42"/>
      <c r="H2663" s="283"/>
      <c r="I2663" s="283"/>
      <c r="J2663" s="42"/>
      <c r="K2663" s="791"/>
      <c r="L2663" s="283"/>
      <c r="M2663" s="283">
        <f t="shared" si="408"/>
        <v>0</v>
      </c>
      <c r="N2663" s="283"/>
      <c r="O2663" s="815"/>
      <c r="P2663" s="164"/>
      <c r="Q2663" s="351">
        <v>150</v>
      </c>
      <c r="R2663" s="351">
        <v>148</v>
      </c>
      <c r="S2663" s="1111" t="s">
        <v>5290</v>
      </c>
      <c r="T2663" s="933"/>
      <c r="U2663" s="933"/>
      <c r="V2663" s="532"/>
      <c r="W2663" s="42"/>
      <c r="X2663" s="16"/>
      <c r="Y2663" s="16"/>
    </row>
    <row r="2664" spans="1:25" s="709" customFormat="1" ht="16.5">
      <c r="A2664" s="741"/>
      <c r="B2664" s="545" t="s">
        <v>5281</v>
      </c>
      <c r="C2664" s="164"/>
      <c r="D2664" s="444"/>
      <c r="E2664" s="647"/>
      <c r="F2664" s="42"/>
      <c r="G2664" s="42"/>
      <c r="H2664" s="283"/>
      <c r="I2664" s="283"/>
      <c r="J2664" s="42"/>
      <c r="K2664" s="791"/>
      <c r="L2664" s="283"/>
      <c r="M2664" s="283">
        <f t="shared" si="408"/>
        <v>0</v>
      </c>
      <c r="N2664" s="283"/>
      <c r="O2664" s="815"/>
      <c r="P2664" s="164"/>
      <c r="Q2664" s="351">
        <v>150</v>
      </c>
      <c r="R2664" s="351">
        <v>150</v>
      </c>
      <c r="S2664" s="1111" t="s">
        <v>5290</v>
      </c>
      <c r="T2664" s="933"/>
      <c r="U2664" s="933"/>
      <c r="V2664" s="532"/>
      <c r="W2664" s="42"/>
      <c r="X2664" s="16"/>
      <c r="Y2664" s="16"/>
    </row>
    <row r="2665" spans="1:25" s="709" customFormat="1" ht="16.5">
      <c r="A2665" s="741"/>
      <c r="B2665" s="545" t="s">
        <v>2676</v>
      </c>
      <c r="C2665" s="164"/>
      <c r="D2665" s="444"/>
      <c r="E2665" s="647"/>
      <c r="F2665" s="42"/>
      <c r="G2665" s="42"/>
      <c r="H2665" s="283"/>
      <c r="I2665" s="283"/>
      <c r="J2665" s="42"/>
      <c r="K2665" s="791"/>
      <c r="L2665" s="283"/>
      <c r="M2665" s="283">
        <f t="shared" si="408"/>
        <v>0</v>
      </c>
      <c r="N2665" s="283"/>
      <c r="O2665" s="815"/>
      <c r="P2665" s="164"/>
      <c r="Q2665" s="351">
        <v>150</v>
      </c>
      <c r="R2665" s="351">
        <v>150</v>
      </c>
      <c r="S2665" s="1111" t="s">
        <v>5290</v>
      </c>
      <c r="T2665" s="933"/>
      <c r="U2665" s="933"/>
      <c r="V2665" s="532"/>
      <c r="W2665" s="42"/>
      <c r="X2665" s="16"/>
      <c r="Y2665" s="16"/>
    </row>
    <row r="2666" spans="1:25" s="709" customFormat="1" ht="16.5">
      <c r="A2666" s="741"/>
      <c r="B2666" s="545" t="s">
        <v>5282</v>
      </c>
      <c r="C2666" s="164"/>
      <c r="D2666" s="444"/>
      <c r="E2666" s="647"/>
      <c r="F2666" s="42"/>
      <c r="G2666" s="42"/>
      <c r="H2666" s="283"/>
      <c r="I2666" s="283"/>
      <c r="J2666" s="42"/>
      <c r="K2666" s="791"/>
      <c r="L2666" s="283"/>
      <c r="M2666" s="283">
        <f t="shared" si="408"/>
        <v>0</v>
      </c>
      <c r="N2666" s="283"/>
      <c r="O2666" s="815"/>
      <c r="P2666" s="164"/>
      <c r="Q2666" s="351">
        <v>150</v>
      </c>
      <c r="R2666" s="351">
        <v>150</v>
      </c>
      <c r="S2666" s="1111" t="s">
        <v>5290</v>
      </c>
      <c r="T2666" s="933"/>
      <c r="U2666" s="933"/>
      <c r="V2666" s="532"/>
      <c r="W2666" s="42"/>
      <c r="X2666" s="16"/>
      <c r="Y2666" s="16"/>
    </row>
    <row r="2667" spans="1:25" s="709" customFormat="1" ht="16.5">
      <c r="A2667" s="741"/>
      <c r="B2667" s="545" t="s">
        <v>5283</v>
      </c>
      <c r="C2667" s="164"/>
      <c r="D2667" s="444"/>
      <c r="E2667" s="647"/>
      <c r="F2667" s="42"/>
      <c r="G2667" s="42"/>
      <c r="H2667" s="283"/>
      <c r="I2667" s="283"/>
      <c r="J2667" s="42"/>
      <c r="K2667" s="791"/>
      <c r="L2667" s="283"/>
      <c r="M2667" s="283">
        <f t="shared" si="408"/>
        <v>0</v>
      </c>
      <c r="N2667" s="283"/>
      <c r="O2667" s="815"/>
      <c r="P2667" s="164"/>
      <c r="Q2667" s="351">
        <v>200</v>
      </c>
      <c r="R2667" s="351">
        <v>200</v>
      </c>
      <c r="S2667" s="1111" t="s">
        <v>5289</v>
      </c>
      <c r="T2667" s="933"/>
      <c r="U2667" s="933"/>
      <c r="V2667" s="532"/>
      <c r="W2667" s="42"/>
      <c r="X2667" s="16"/>
      <c r="Y2667" s="16"/>
    </row>
    <row r="2668" spans="1:25" s="709" customFormat="1" ht="16.5">
      <c r="A2668" s="741"/>
      <c r="B2668" s="545" t="s">
        <v>5284</v>
      </c>
      <c r="C2668" s="164"/>
      <c r="D2668" s="444"/>
      <c r="E2668" s="647"/>
      <c r="F2668" s="42"/>
      <c r="G2668" s="42"/>
      <c r="H2668" s="283"/>
      <c r="I2668" s="283"/>
      <c r="J2668" s="42"/>
      <c r="K2668" s="791"/>
      <c r="L2668" s="283"/>
      <c r="M2668" s="283">
        <f t="shared" si="408"/>
        <v>0</v>
      </c>
      <c r="N2668" s="283"/>
      <c r="O2668" s="815"/>
      <c r="P2668" s="164"/>
      <c r="Q2668" s="351">
        <v>200</v>
      </c>
      <c r="R2668" s="351">
        <v>200</v>
      </c>
      <c r="S2668" s="1111" t="s">
        <v>5289</v>
      </c>
      <c r="T2668" s="933"/>
      <c r="U2668" s="933"/>
      <c r="V2668" s="532"/>
      <c r="W2668" s="42"/>
      <c r="X2668" s="16"/>
      <c r="Y2668" s="16"/>
    </row>
    <row r="2669" spans="1:25" s="709" customFormat="1" ht="16.5">
      <c r="A2669" s="741"/>
      <c r="B2669" s="545" t="s">
        <v>5285</v>
      </c>
      <c r="C2669" s="164"/>
      <c r="D2669" s="444"/>
      <c r="E2669" s="647"/>
      <c r="F2669" s="42"/>
      <c r="G2669" s="42"/>
      <c r="H2669" s="283"/>
      <c r="I2669" s="283"/>
      <c r="J2669" s="42"/>
      <c r="K2669" s="791"/>
      <c r="L2669" s="283"/>
      <c r="M2669" s="283">
        <f t="shared" si="408"/>
        <v>0</v>
      </c>
      <c r="N2669" s="283"/>
      <c r="O2669" s="815"/>
      <c r="P2669" s="164"/>
      <c r="Q2669" s="351">
        <v>200</v>
      </c>
      <c r="R2669" s="351">
        <v>200</v>
      </c>
      <c r="S2669" s="1111" t="s">
        <v>5289</v>
      </c>
      <c r="T2669" s="933"/>
      <c r="U2669" s="933"/>
      <c r="V2669" s="532"/>
      <c r="W2669" s="42"/>
      <c r="X2669" s="16"/>
      <c r="Y2669" s="16"/>
    </row>
    <row r="2670" spans="1:25" s="709" customFormat="1" ht="16.5">
      <c r="A2670" s="741"/>
      <c r="B2670" s="545" t="s">
        <v>3544</v>
      </c>
      <c r="C2670" s="164"/>
      <c r="D2670" s="444"/>
      <c r="E2670" s="647"/>
      <c r="F2670" s="42"/>
      <c r="G2670" s="42"/>
      <c r="H2670" s="283"/>
      <c r="I2670" s="283"/>
      <c r="J2670" s="42"/>
      <c r="K2670" s="791"/>
      <c r="L2670" s="283"/>
      <c r="M2670" s="283">
        <f t="shared" si="408"/>
        <v>0</v>
      </c>
      <c r="N2670" s="283"/>
      <c r="O2670" s="815"/>
      <c r="P2670" s="164"/>
      <c r="Q2670" s="351">
        <v>200</v>
      </c>
      <c r="R2670" s="351">
        <v>200</v>
      </c>
      <c r="S2670" s="1111" t="s">
        <v>5289</v>
      </c>
      <c r="T2670" s="933"/>
      <c r="U2670" s="933"/>
      <c r="V2670" s="532"/>
      <c r="W2670" s="42"/>
      <c r="X2670" s="16"/>
      <c r="Y2670" s="16"/>
    </row>
    <row r="2671" spans="1:25" s="709" customFormat="1" ht="16.5">
      <c r="A2671" s="741"/>
      <c r="B2671" s="545" t="s">
        <v>5286</v>
      </c>
      <c r="C2671" s="164"/>
      <c r="D2671" s="444"/>
      <c r="E2671" s="647"/>
      <c r="F2671" s="42"/>
      <c r="G2671" s="42"/>
      <c r="H2671" s="283"/>
      <c r="I2671" s="283"/>
      <c r="J2671" s="42"/>
      <c r="K2671" s="791"/>
      <c r="L2671" s="283"/>
      <c r="M2671" s="283">
        <f t="shared" si="408"/>
        <v>0</v>
      </c>
      <c r="N2671" s="283"/>
      <c r="O2671" s="815"/>
      <c r="P2671" s="164"/>
      <c r="Q2671" s="351">
        <v>200</v>
      </c>
      <c r="R2671" s="351">
        <v>200</v>
      </c>
      <c r="S2671" s="1111" t="s">
        <v>5289</v>
      </c>
      <c r="T2671" s="933"/>
      <c r="U2671" s="933"/>
      <c r="V2671" s="532"/>
      <c r="W2671" s="42"/>
      <c r="X2671" s="16"/>
      <c r="Y2671" s="16"/>
    </row>
    <row r="2672" spans="1:25" s="709" customFormat="1" ht="16.5">
      <c r="A2672" s="741"/>
      <c r="B2672" s="545" t="s">
        <v>5287</v>
      </c>
      <c r="C2672" s="164"/>
      <c r="D2672" s="444"/>
      <c r="E2672" s="647"/>
      <c r="F2672" s="42"/>
      <c r="G2672" s="42"/>
      <c r="H2672" s="283"/>
      <c r="I2672" s="283"/>
      <c r="J2672" s="42"/>
      <c r="K2672" s="791"/>
      <c r="L2672" s="283"/>
      <c r="M2672" s="283">
        <f t="shared" si="408"/>
        <v>0</v>
      </c>
      <c r="N2672" s="283"/>
      <c r="O2672" s="815"/>
      <c r="P2672" s="164"/>
      <c r="Q2672" s="351">
        <v>200</v>
      </c>
      <c r="R2672" s="351">
        <v>200</v>
      </c>
      <c r="S2672" s="1111" t="s">
        <v>5289</v>
      </c>
      <c r="T2672" s="933"/>
      <c r="U2672" s="933"/>
      <c r="V2672" s="532"/>
      <c r="W2672" s="42"/>
      <c r="X2672" s="16"/>
      <c r="Y2672" s="16"/>
    </row>
    <row r="2673" spans="1:25" s="709" customFormat="1" ht="16.5">
      <c r="A2673" s="741"/>
      <c r="B2673" s="545" t="s">
        <v>5131</v>
      </c>
      <c r="C2673" s="164"/>
      <c r="D2673" s="444"/>
      <c r="E2673" s="647"/>
      <c r="F2673" s="42"/>
      <c r="G2673" s="42"/>
      <c r="H2673" s="283"/>
      <c r="I2673" s="283"/>
      <c r="J2673" s="42"/>
      <c r="K2673" s="791"/>
      <c r="L2673" s="283"/>
      <c r="M2673" s="283">
        <f t="shared" si="408"/>
        <v>0</v>
      </c>
      <c r="N2673" s="283"/>
      <c r="O2673" s="815"/>
      <c r="P2673" s="164"/>
      <c r="Q2673" s="351">
        <v>200</v>
      </c>
      <c r="R2673" s="351">
        <v>200</v>
      </c>
      <c r="S2673" s="1111" t="s">
        <v>5289</v>
      </c>
      <c r="T2673" s="933"/>
      <c r="U2673" s="933"/>
      <c r="V2673" s="532"/>
      <c r="W2673" s="42"/>
      <c r="X2673" s="16"/>
      <c r="Y2673" s="16"/>
    </row>
    <row r="2674" spans="1:25" s="709" customFormat="1" ht="16.5">
      <c r="A2674" s="741"/>
      <c r="B2674" s="545" t="s">
        <v>5132</v>
      </c>
      <c r="C2674" s="164"/>
      <c r="D2674" s="444"/>
      <c r="E2674" s="647"/>
      <c r="F2674" s="42"/>
      <c r="G2674" s="42"/>
      <c r="H2674" s="283"/>
      <c r="I2674" s="283"/>
      <c r="J2674" s="42"/>
      <c r="K2674" s="791"/>
      <c r="L2674" s="283"/>
      <c r="M2674" s="283">
        <f t="shared" si="408"/>
        <v>0</v>
      </c>
      <c r="N2674" s="283"/>
      <c r="O2674" s="815"/>
      <c r="P2674" s="164"/>
      <c r="Q2674" s="351">
        <v>200</v>
      </c>
      <c r="R2674" s="351">
        <v>200</v>
      </c>
      <c r="S2674" s="1111" t="s">
        <v>5289</v>
      </c>
      <c r="T2674" s="933"/>
      <c r="U2674" s="933"/>
      <c r="V2674" s="532"/>
      <c r="W2674" s="42"/>
      <c r="X2674" s="16"/>
      <c r="Y2674" s="16"/>
    </row>
    <row r="2675" spans="1:25" s="709" customFormat="1" ht="16.5">
      <c r="A2675" s="741"/>
      <c r="B2675" s="545" t="s">
        <v>5288</v>
      </c>
      <c r="C2675" s="164"/>
      <c r="D2675" s="444"/>
      <c r="E2675" s="647"/>
      <c r="F2675" s="42"/>
      <c r="G2675" s="42"/>
      <c r="H2675" s="283"/>
      <c r="I2675" s="283"/>
      <c r="J2675" s="42"/>
      <c r="K2675" s="791"/>
      <c r="L2675" s="283"/>
      <c r="M2675" s="283">
        <f t="shared" si="408"/>
        <v>0</v>
      </c>
      <c r="N2675" s="283"/>
      <c r="O2675" s="815"/>
      <c r="P2675" s="164"/>
      <c r="Q2675" s="351">
        <v>100</v>
      </c>
      <c r="R2675" s="351">
        <v>100</v>
      </c>
      <c r="S2675" s="1111" t="s">
        <v>5291</v>
      </c>
      <c r="T2675" s="933"/>
      <c r="U2675" s="933"/>
      <c r="V2675" s="532"/>
      <c r="W2675" s="42"/>
      <c r="X2675" s="16"/>
      <c r="Y2675" s="16"/>
    </row>
    <row r="2676" spans="1:25" s="709" customFormat="1" ht="16.5">
      <c r="A2676" s="741"/>
      <c r="B2676" s="545"/>
      <c r="C2676" s="164"/>
      <c r="D2676" s="444"/>
      <c r="E2676" s="647"/>
      <c r="F2676" s="42"/>
      <c r="G2676" s="42"/>
      <c r="H2676" s="283"/>
      <c r="I2676" s="283"/>
      <c r="J2676" s="42"/>
      <c r="K2676" s="791"/>
      <c r="L2676" s="283"/>
      <c r="M2676" s="283"/>
      <c r="N2676" s="283"/>
      <c r="O2676" s="815"/>
      <c r="P2676" s="164"/>
      <c r="Q2676" s="351"/>
      <c r="R2676" s="351"/>
      <c r="S2676" s="1143"/>
      <c r="T2676" s="933"/>
      <c r="U2676" s="933"/>
      <c r="V2676" s="532"/>
      <c r="W2676" s="42"/>
      <c r="X2676" s="16"/>
      <c r="Y2676" s="16"/>
    </row>
    <row r="2677" spans="1:25" s="709" customFormat="1" ht="16.5">
      <c r="A2677" s="741"/>
      <c r="B2677" s="545" t="s">
        <v>314</v>
      </c>
      <c r="C2677" s="164" t="s">
        <v>2603</v>
      </c>
      <c r="D2677" s="444">
        <v>41016</v>
      </c>
      <c r="E2677" s="647"/>
      <c r="F2677" s="42" t="s">
        <v>315</v>
      </c>
      <c r="G2677" s="42"/>
      <c r="H2677" s="283"/>
      <c r="I2677" s="283"/>
      <c r="J2677" s="42"/>
      <c r="K2677" s="283">
        <v>2500</v>
      </c>
      <c r="L2677" s="283"/>
      <c r="M2677" s="283">
        <f t="shared" si="406"/>
        <v>2500</v>
      </c>
      <c r="N2677" s="283"/>
      <c r="O2677" s="815"/>
      <c r="P2677" s="164" t="s">
        <v>103</v>
      </c>
      <c r="Q2677" s="524">
        <v>2500</v>
      </c>
      <c r="R2677" s="524">
        <v>2500</v>
      </c>
      <c r="S2677" s="933"/>
      <c r="T2677" s="933"/>
      <c r="U2677" s="933"/>
      <c r="V2677" s="532"/>
      <c r="W2677" s="42" t="s">
        <v>930</v>
      </c>
      <c r="X2677" s="16">
        <f t="shared" si="407"/>
        <v>2500</v>
      </c>
      <c r="Y2677" s="16">
        <f t="shared" ref="Y2677:Y2685" si="409">X2677-M2677</f>
        <v>0</v>
      </c>
    </row>
    <row r="2678" spans="1:25" s="709" customFormat="1" ht="16.5">
      <c r="A2678" s="741"/>
      <c r="B2678" s="545" t="s">
        <v>343</v>
      </c>
      <c r="C2678" s="164" t="s">
        <v>2605</v>
      </c>
      <c r="D2678" s="444">
        <v>41016</v>
      </c>
      <c r="E2678" s="647"/>
      <c r="F2678" s="42" t="s">
        <v>2604</v>
      </c>
      <c r="G2678" s="42"/>
      <c r="H2678" s="283"/>
      <c r="I2678" s="283"/>
      <c r="J2678" s="42"/>
      <c r="K2678" s="283">
        <v>200</v>
      </c>
      <c r="L2678" s="283"/>
      <c r="M2678" s="283">
        <f t="shared" si="406"/>
        <v>200</v>
      </c>
      <c r="N2678" s="283"/>
      <c r="O2678" s="815"/>
      <c r="P2678" s="164" t="s">
        <v>103</v>
      </c>
      <c r="Q2678" s="524">
        <v>200</v>
      </c>
      <c r="R2678" s="524">
        <v>200</v>
      </c>
      <c r="S2678" s="933"/>
      <c r="T2678" s="933"/>
      <c r="U2678" s="933"/>
      <c r="V2678" s="532"/>
      <c r="W2678" s="42" t="s">
        <v>930</v>
      </c>
      <c r="X2678" s="16">
        <f t="shared" si="407"/>
        <v>200</v>
      </c>
      <c r="Y2678" s="16">
        <f t="shared" si="409"/>
        <v>0</v>
      </c>
    </row>
    <row r="2679" spans="1:25" s="709" customFormat="1" ht="16.5">
      <c r="A2679" s="741"/>
      <c r="B2679" s="545" t="s">
        <v>314</v>
      </c>
      <c r="C2679" s="164" t="s">
        <v>2606</v>
      </c>
      <c r="D2679" s="444">
        <v>41024</v>
      </c>
      <c r="E2679" s="647"/>
      <c r="F2679" s="42" t="s">
        <v>1749</v>
      </c>
      <c r="G2679" s="42"/>
      <c r="H2679" s="283"/>
      <c r="I2679" s="283"/>
      <c r="J2679" s="42"/>
      <c r="K2679" s="283">
        <v>5100</v>
      </c>
      <c r="L2679" s="283"/>
      <c r="M2679" s="283">
        <f t="shared" si="406"/>
        <v>5100</v>
      </c>
      <c r="N2679" s="283"/>
      <c r="O2679" s="815"/>
      <c r="P2679" s="164" t="s">
        <v>103</v>
      </c>
      <c r="Q2679" s="524">
        <v>5100</v>
      </c>
      <c r="R2679" s="524">
        <v>5100</v>
      </c>
      <c r="S2679" s="933"/>
      <c r="T2679" s="933"/>
      <c r="U2679" s="933"/>
      <c r="V2679" s="532"/>
      <c r="W2679" s="42" t="s">
        <v>930</v>
      </c>
      <c r="X2679" s="16">
        <f t="shared" si="407"/>
        <v>5100</v>
      </c>
      <c r="Y2679" s="16">
        <f t="shared" si="409"/>
        <v>0</v>
      </c>
    </row>
    <row r="2680" spans="1:25" s="709" customFormat="1" ht="16.5">
      <c r="A2680" s="741"/>
      <c r="B2680" s="545" t="s">
        <v>311</v>
      </c>
      <c r="C2680" s="164" t="s">
        <v>2608</v>
      </c>
      <c r="D2680" s="444">
        <v>41037</v>
      </c>
      <c r="E2680" s="647"/>
      <c r="F2680" s="42" t="s">
        <v>2607</v>
      </c>
      <c r="G2680" s="42"/>
      <c r="H2680" s="283"/>
      <c r="I2680" s="283"/>
      <c r="J2680" s="42"/>
      <c r="K2680" s="283">
        <v>10000</v>
      </c>
      <c r="L2680" s="283"/>
      <c r="M2680" s="283">
        <f t="shared" si="406"/>
        <v>10000</v>
      </c>
      <c r="N2680" s="283"/>
      <c r="O2680" s="815"/>
      <c r="P2680" s="164" t="s">
        <v>103</v>
      </c>
      <c r="Q2680" s="524">
        <v>10000</v>
      </c>
      <c r="R2680" s="524">
        <v>10000</v>
      </c>
      <c r="S2680" s="933"/>
      <c r="T2680" s="933"/>
      <c r="U2680" s="933"/>
      <c r="V2680" s="532"/>
      <c r="W2680" s="42" t="s">
        <v>930</v>
      </c>
      <c r="X2680" s="16">
        <f t="shared" si="407"/>
        <v>10000</v>
      </c>
      <c r="Y2680" s="16">
        <f t="shared" si="409"/>
        <v>0</v>
      </c>
    </row>
    <row r="2681" spans="1:25" s="709" customFormat="1" ht="16.5">
      <c r="A2681" s="741"/>
      <c r="B2681" s="545" t="s">
        <v>314</v>
      </c>
      <c r="C2681" s="164" t="s">
        <v>2609</v>
      </c>
      <c r="D2681" s="444">
        <v>41039</v>
      </c>
      <c r="E2681" s="647"/>
      <c r="F2681" s="42" t="s">
        <v>1749</v>
      </c>
      <c r="G2681" s="42"/>
      <c r="H2681" s="283"/>
      <c r="I2681" s="283"/>
      <c r="J2681" s="42"/>
      <c r="K2681" s="283">
        <v>1800</v>
      </c>
      <c r="L2681" s="283"/>
      <c r="M2681" s="283">
        <f t="shared" si="406"/>
        <v>1800</v>
      </c>
      <c r="N2681" s="283"/>
      <c r="O2681" s="815"/>
      <c r="P2681" s="164" t="s">
        <v>103</v>
      </c>
      <c r="Q2681" s="524">
        <v>1800</v>
      </c>
      <c r="R2681" s="524">
        <v>1800</v>
      </c>
      <c r="S2681" s="933"/>
      <c r="T2681" s="933"/>
      <c r="U2681" s="933"/>
      <c r="V2681" s="532"/>
      <c r="W2681" s="42" t="s">
        <v>930</v>
      </c>
      <c r="X2681" s="16">
        <f t="shared" si="407"/>
        <v>1800</v>
      </c>
      <c r="Y2681" s="16">
        <f t="shared" si="409"/>
        <v>0</v>
      </c>
    </row>
    <row r="2682" spans="1:25" s="709" customFormat="1" ht="58.5" customHeight="1">
      <c r="A2682" s="741"/>
      <c r="B2682" s="553" t="s">
        <v>308</v>
      </c>
      <c r="C2682" s="108" t="s">
        <v>2611</v>
      </c>
      <c r="D2682" s="527">
        <v>41044</v>
      </c>
      <c r="E2682" s="647"/>
      <c r="F2682" s="525" t="s">
        <v>2610</v>
      </c>
      <c r="G2682" s="525"/>
      <c r="H2682" s="21"/>
      <c r="I2682" s="21"/>
      <c r="J2682" s="525"/>
      <c r="K2682" s="21">
        <v>2000</v>
      </c>
      <c r="L2682" s="21"/>
      <c r="M2682" s="21">
        <f t="shared" si="406"/>
        <v>2000</v>
      </c>
      <c r="N2682" s="21"/>
      <c r="O2682" s="58"/>
      <c r="P2682" s="108" t="s">
        <v>103</v>
      </c>
      <c r="Q2682" s="508">
        <v>2000</v>
      </c>
      <c r="R2682" s="508">
        <v>2000</v>
      </c>
      <c r="S2682" s="1346" t="s">
        <v>4632</v>
      </c>
      <c r="T2682" s="1346"/>
      <c r="U2682" s="1346"/>
      <c r="V2682" s="532"/>
      <c r="W2682" s="525" t="s">
        <v>930</v>
      </c>
      <c r="X2682" s="16">
        <f t="shared" si="407"/>
        <v>2000</v>
      </c>
      <c r="Y2682" s="16">
        <f t="shared" si="409"/>
        <v>0</v>
      </c>
    </row>
    <row r="2683" spans="1:25" s="709" customFormat="1" ht="16.5">
      <c r="A2683" s="741"/>
      <c r="B2683" s="545" t="s">
        <v>311</v>
      </c>
      <c r="C2683" s="164" t="s">
        <v>2613</v>
      </c>
      <c r="D2683" s="444">
        <v>41044</v>
      </c>
      <c r="E2683" s="647"/>
      <c r="F2683" s="42" t="s">
        <v>2612</v>
      </c>
      <c r="G2683" s="42"/>
      <c r="H2683" s="283"/>
      <c r="I2683" s="283"/>
      <c r="J2683" s="42"/>
      <c r="K2683" s="283">
        <v>2100</v>
      </c>
      <c r="L2683" s="283"/>
      <c r="M2683" s="283">
        <f t="shared" si="406"/>
        <v>2100</v>
      </c>
      <c r="N2683" s="283"/>
      <c r="O2683" s="815"/>
      <c r="P2683" s="164" t="s">
        <v>103</v>
      </c>
      <c r="Q2683" s="524">
        <v>2100</v>
      </c>
      <c r="R2683" s="524">
        <v>2100</v>
      </c>
      <c r="S2683" s="933"/>
      <c r="T2683" s="933"/>
      <c r="U2683" s="933"/>
      <c r="V2683" s="532"/>
      <c r="W2683" s="42" t="s">
        <v>930</v>
      </c>
      <c r="X2683" s="16">
        <f t="shared" si="407"/>
        <v>2100</v>
      </c>
      <c r="Y2683" s="16">
        <f t="shared" si="409"/>
        <v>0</v>
      </c>
    </row>
    <row r="2684" spans="1:25" s="709" customFormat="1" ht="16.5">
      <c r="A2684" s="741"/>
      <c r="B2684" s="545"/>
      <c r="C2684" s="164"/>
      <c r="D2684" s="444"/>
      <c r="E2684" s="647"/>
      <c r="F2684" s="42"/>
      <c r="G2684" s="42"/>
      <c r="H2684" s="283"/>
      <c r="I2684" s="283"/>
      <c r="J2684" s="42"/>
      <c r="K2684" s="283"/>
      <c r="L2684" s="283"/>
      <c r="M2684" s="283"/>
      <c r="N2684" s="283"/>
      <c r="O2684" s="815"/>
      <c r="P2684" s="164"/>
      <c r="Q2684" s="524"/>
      <c r="R2684" s="524"/>
      <c r="S2684" s="933"/>
      <c r="T2684" s="933"/>
      <c r="U2684" s="933"/>
      <c r="V2684" s="532"/>
      <c r="W2684" s="42"/>
      <c r="X2684" s="16"/>
      <c r="Y2684" s="16"/>
    </row>
    <row r="2685" spans="1:25" s="709" customFormat="1" ht="16.5">
      <c r="A2685" s="741"/>
      <c r="B2685" s="545" t="s">
        <v>311</v>
      </c>
      <c r="C2685" s="164" t="s">
        <v>2614</v>
      </c>
      <c r="D2685" s="444">
        <v>41044</v>
      </c>
      <c r="E2685" s="647"/>
      <c r="F2685" s="42" t="s">
        <v>315</v>
      </c>
      <c r="G2685" s="42"/>
      <c r="H2685" s="283"/>
      <c r="I2685" s="283"/>
      <c r="J2685" s="42"/>
      <c r="K2685" s="283">
        <v>3900</v>
      </c>
      <c r="L2685" s="283"/>
      <c r="M2685" s="283">
        <f t="shared" si="406"/>
        <v>3900</v>
      </c>
      <c r="N2685" s="283"/>
      <c r="O2685" s="815"/>
      <c r="P2685" s="164" t="s">
        <v>103</v>
      </c>
      <c r="Q2685" s="547">
        <f>SUM(Q2686:Q2688)</f>
        <v>3900</v>
      </c>
      <c r="R2685" s="547">
        <f>SUM(R2686:R2688)</f>
        <v>3900</v>
      </c>
      <c r="S2685" s="933"/>
      <c r="T2685" s="933"/>
      <c r="U2685" s="933"/>
      <c r="V2685" s="532"/>
      <c r="W2685" s="42" t="s">
        <v>930</v>
      </c>
      <c r="X2685" s="16">
        <f t="shared" si="407"/>
        <v>3900</v>
      </c>
      <c r="Y2685" s="16">
        <f t="shared" si="409"/>
        <v>0</v>
      </c>
    </row>
    <row r="2686" spans="1:25" s="709" customFormat="1" ht="16.5">
      <c r="A2686" s="741"/>
      <c r="B2686" s="545" t="s">
        <v>5293</v>
      </c>
      <c r="C2686" s="164"/>
      <c r="D2686" s="444"/>
      <c r="E2686" s="647"/>
      <c r="F2686" s="42"/>
      <c r="G2686" s="42"/>
      <c r="H2686" s="283"/>
      <c r="I2686" s="283"/>
      <c r="J2686" s="42"/>
      <c r="K2686" s="791"/>
      <c r="L2686" s="283"/>
      <c r="M2686" s="283">
        <f>SUM(K2686:L2686)</f>
        <v>0</v>
      </c>
      <c r="N2686" s="283"/>
      <c r="O2686" s="815"/>
      <c r="P2686" s="164"/>
      <c r="Q2686" s="524">
        <v>1300</v>
      </c>
      <c r="R2686" s="524">
        <v>1300</v>
      </c>
      <c r="S2686" s="933" t="s">
        <v>5295</v>
      </c>
      <c r="T2686" s="933"/>
      <c r="U2686" s="933"/>
      <c r="V2686" s="532"/>
      <c r="W2686" s="42"/>
      <c r="X2686" s="16"/>
      <c r="Y2686" s="16"/>
    </row>
    <row r="2687" spans="1:25" s="709" customFormat="1" ht="16.5">
      <c r="A2687" s="741"/>
      <c r="B2687" s="545" t="s">
        <v>5294</v>
      </c>
      <c r="C2687" s="164"/>
      <c r="D2687" s="444"/>
      <c r="E2687" s="647"/>
      <c r="F2687" s="42"/>
      <c r="G2687" s="42"/>
      <c r="H2687" s="283"/>
      <c r="I2687" s="283"/>
      <c r="J2687" s="42"/>
      <c r="K2687" s="791"/>
      <c r="L2687" s="283"/>
      <c r="M2687" s="283">
        <f>SUM(K2687:L2687)</f>
        <v>0</v>
      </c>
      <c r="N2687" s="283"/>
      <c r="O2687" s="815"/>
      <c r="P2687" s="164"/>
      <c r="Q2687" s="524">
        <v>1300</v>
      </c>
      <c r="R2687" s="524">
        <v>1300</v>
      </c>
      <c r="S2687" s="933" t="s">
        <v>5295</v>
      </c>
      <c r="T2687" s="933"/>
      <c r="U2687" s="933"/>
      <c r="V2687" s="532"/>
      <c r="W2687" s="42"/>
      <c r="X2687" s="16"/>
      <c r="Y2687" s="16"/>
    </row>
    <row r="2688" spans="1:25" s="709" customFormat="1" ht="16.5">
      <c r="A2688" s="741"/>
      <c r="B2688" s="545" t="s">
        <v>2612</v>
      </c>
      <c r="C2688" s="164"/>
      <c r="D2688" s="444"/>
      <c r="E2688" s="647"/>
      <c r="F2688" s="42"/>
      <c r="G2688" s="42"/>
      <c r="H2688" s="283"/>
      <c r="I2688" s="283"/>
      <c r="J2688" s="42"/>
      <c r="K2688" s="791"/>
      <c r="L2688" s="283"/>
      <c r="M2688" s="283">
        <f>SUM(K2688:L2688)</f>
        <v>0</v>
      </c>
      <c r="N2688" s="283"/>
      <c r="O2688" s="815"/>
      <c r="P2688" s="164"/>
      <c r="Q2688" s="524">
        <v>1300</v>
      </c>
      <c r="R2688" s="524">
        <v>1300</v>
      </c>
      <c r="S2688" s="933" t="s">
        <v>5295</v>
      </c>
      <c r="T2688" s="933"/>
      <c r="U2688" s="933"/>
      <c r="V2688" s="532"/>
      <c r="W2688" s="42"/>
      <c r="X2688" s="16"/>
      <c r="Y2688" s="16"/>
    </row>
    <row r="2689" spans="1:25" s="709" customFormat="1" ht="16.5">
      <c r="A2689" s="741"/>
      <c r="B2689" s="545"/>
      <c r="C2689" s="164"/>
      <c r="D2689" s="444"/>
      <c r="E2689" s="647"/>
      <c r="F2689" s="42"/>
      <c r="G2689" s="42"/>
      <c r="H2689" s="283"/>
      <c r="I2689" s="283"/>
      <c r="J2689" s="42"/>
      <c r="K2689" s="791"/>
      <c r="L2689" s="283"/>
      <c r="M2689" s="283"/>
      <c r="N2689" s="283"/>
      <c r="O2689" s="815"/>
      <c r="P2689" s="164"/>
      <c r="Q2689" s="524"/>
      <c r="R2689" s="524"/>
      <c r="S2689" s="933"/>
      <c r="T2689" s="933"/>
      <c r="U2689" s="933"/>
      <c r="V2689" s="532"/>
      <c r="W2689" s="42"/>
      <c r="X2689" s="16"/>
      <c r="Y2689" s="16"/>
    </row>
    <row r="2690" spans="1:25" s="709" customFormat="1" ht="16.5">
      <c r="A2690" s="741"/>
      <c r="B2690" s="545" t="s">
        <v>308</v>
      </c>
      <c r="C2690" s="164" t="s">
        <v>2615</v>
      </c>
      <c r="D2690" s="444">
        <v>41043</v>
      </c>
      <c r="E2690" s="647"/>
      <c r="F2690" s="42" t="s">
        <v>315</v>
      </c>
      <c r="G2690" s="42"/>
      <c r="H2690" s="283"/>
      <c r="I2690" s="283"/>
      <c r="J2690" s="42"/>
      <c r="K2690" s="283">
        <v>20000</v>
      </c>
      <c r="L2690" s="283"/>
      <c r="M2690" s="283">
        <f t="shared" si="406"/>
        <v>20000</v>
      </c>
      <c r="N2690" s="283"/>
      <c r="O2690" s="815"/>
      <c r="P2690" s="164" t="s">
        <v>103</v>
      </c>
      <c r="Q2690" s="547">
        <f>SUM(Q2691:Q2693)</f>
        <v>20000</v>
      </c>
      <c r="R2690" s="547">
        <f>SUM(R2691:R2693)</f>
        <v>20000</v>
      </c>
      <c r="S2690" s="898"/>
      <c r="T2690" s="933"/>
      <c r="U2690" s="933"/>
      <c r="V2690" s="532"/>
      <c r="W2690" s="42" t="s">
        <v>930</v>
      </c>
      <c r="X2690" s="16">
        <f t="shared" si="407"/>
        <v>20000</v>
      </c>
      <c r="Y2690" s="16">
        <f>X2690-M2690</f>
        <v>0</v>
      </c>
    </row>
    <row r="2691" spans="1:25" s="709" customFormat="1" ht="25.5" customHeight="1">
      <c r="A2691" s="741"/>
      <c r="B2691" s="530" t="s">
        <v>2616</v>
      </c>
      <c r="C2691" s="164"/>
      <c r="D2691" s="444"/>
      <c r="E2691" s="784"/>
      <c r="F2691" s="42"/>
      <c r="G2691" s="42"/>
      <c r="H2691" s="283"/>
      <c r="I2691" s="283"/>
      <c r="J2691" s="42"/>
      <c r="K2691" s="283"/>
      <c r="L2691" s="283"/>
      <c r="M2691" s="283"/>
      <c r="N2691" s="283"/>
      <c r="O2691" s="815"/>
      <c r="P2691" s="164"/>
      <c r="Q2691" s="524">
        <v>10000</v>
      </c>
      <c r="R2691" s="524">
        <v>10000</v>
      </c>
      <c r="S2691" s="1373" t="s">
        <v>4632</v>
      </c>
      <c r="T2691" s="1373"/>
      <c r="U2691" s="1373"/>
      <c r="V2691" s="532"/>
      <c r="W2691" s="42"/>
      <c r="X2691" s="16"/>
      <c r="Y2691" s="16"/>
    </row>
    <row r="2692" spans="1:25" s="709" customFormat="1" ht="18" customHeight="1">
      <c r="A2692" s="741"/>
      <c r="B2692" s="530" t="s">
        <v>2617</v>
      </c>
      <c r="C2692" s="164"/>
      <c r="D2692" s="444"/>
      <c r="E2692" s="784"/>
      <c r="F2692" s="42"/>
      <c r="G2692" s="42"/>
      <c r="H2692" s="283"/>
      <c r="I2692" s="283"/>
      <c r="J2692" s="42"/>
      <c r="K2692" s="283"/>
      <c r="L2692" s="283"/>
      <c r="M2692" s="283"/>
      <c r="N2692" s="283"/>
      <c r="O2692" s="815"/>
      <c r="P2692" s="164"/>
      <c r="Q2692" s="524">
        <v>5000</v>
      </c>
      <c r="R2692" s="524">
        <v>5000</v>
      </c>
      <c r="S2692" s="1373"/>
      <c r="T2692" s="1373"/>
      <c r="U2692" s="1373"/>
      <c r="V2692" s="532"/>
      <c r="W2692" s="42"/>
      <c r="X2692" s="16"/>
      <c r="Y2692" s="16"/>
    </row>
    <row r="2693" spans="1:25" s="709" customFormat="1" ht="21" customHeight="1">
      <c r="A2693" s="741"/>
      <c r="B2693" s="530" t="s">
        <v>2404</v>
      </c>
      <c r="C2693" s="164"/>
      <c r="D2693" s="444"/>
      <c r="E2693" s="784"/>
      <c r="F2693" s="42"/>
      <c r="G2693" s="42"/>
      <c r="H2693" s="283"/>
      <c r="I2693" s="283"/>
      <c r="J2693" s="42"/>
      <c r="K2693" s="283"/>
      <c r="L2693" s="283"/>
      <c r="M2693" s="283"/>
      <c r="N2693" s="283"/>
      <c r="O2693" s="815"/>
      <c r="P2693" s="164"/>
      <c r="Q2693" s="524">
        <v>5000</v>
      </c>
      <c r="R2693" s="524">
        <v>5000</v>
      </c>
      <c r="S2693" s="1373"/>
      <c r="T2693" s="1373"/>
      <c r="U2693" s="1373"/>
      <c r="V2693" s="532"/>
      <c r="W2693" s="42"/>
      <c r="X2693" s="16"/>
      <c r="Y2693" s="16"/>
    </row>
    <row r="2694" spans="1:25" s="709" customFormat="1" ht="16.5">
      <c r="A2694" s="741"/>
      <c r="B2694" s="545"/>
      <c r="C2694" s="164"/>
      <c r="D2694" s="444"/>
      <c r="E2694" s="647"/>
      <c r="F2694" s="42"/>
      <c r="G2694" s="42"/>
      <c r="H2694" s="283"/>
      <c r="I2694" s="283"/>
      <c r="J2694" s="42"/>
      <c r="K2694" s="283"/>
      <c r="L2694" s="283"/>
      <c r="M2694" s="283"/>
      <c r="N2694" s="283"/>
      <c r="O2694" s="815"/>
      <c r="P2694" s="164"/>
      <c r="Q2694" s="351"/>
      <c r="R2694" s="351"/>
      <c r="S2694" s="933"/>
      <c r="T2694" s="933"/>
      <c r="U2694" s="933"/>
      <c r="V2694" s="532"/>
      <c r="W2694" s="42"/>
      <c r="X2694" s="16"/>
      <c r="Y2694" s="16"/>
    </row>
    <row r="2695" spans="1:25" s="709" customFormat="1" ht="16.5">
      <c r="A2695" s="741"/>
      <c r="B2695" s="545" t="s">
        <v>311</v>
      </c>
      <c r="C2695" s="164" t="s">
        <v>2619</v>
      </c>
      <c r="D2695" s="444">
        <v>41043</v>
      </c>
      <c r="E2695" s="647"/>
      <c r="F2695" s="42" t="s">
        <v>2618</v>
      </c>
      <c r="G2695" s="42"/>
      <c r="H2695" s="283"/>
      <c r="I2695" s="283"/>
      <c r="J2695" s="42"/>
      <c r="K2695" s="283">
        <v>5000</v>
      </c>
      <c r="L2695" s="283"/>
      <c r="M2695" s="283">
        <f t="shared" ref="M2695:M2700" si="410">SUM(K2695:L2695)</f>
        <v>5000</v>
      </c>
      <c r="N2695" s="283"/>
      <c r="O2695" s="815"/>
      <c r="P2695" s="164" t="s">
        <v>103</v>
      </c>
      <c r="Q2695" s="524">
        <v>5000</v>
      </c>
      <c r="R2695" s="524">
        <v>5000</v>
      </c>
      <c r="S2695" s="933"/>
      <c r="T2695" s="933"/>
      <c r="U2695" s="933"/>
      <c r="V2695" s="532"/>
      <c r="W2695" s="42" t="s">
        <v>930</v>
      </c>
      <c r="X2695" s="16">
        <f t="shared" ref="X2695:X2700" si="411">SUM(J2695:L2695)</f>
        <v>5000</v>
      </c>
      <c r="Y2695" s="16">
        <f>X2695-M2695</f>
        <v>0</v>
      </c>
    </row>
    <row r="2696" spans="1:25" s="709" customFormat="1" ht="16.5">
      <c r="A2696" s="741"/>
      <c r="B2696" s="545" t="s">
        <v>314</v>
      </c>
      <c r="C2696" s="164" t="s">
        <v>2620</v>
      </c>
      <c r="D2696" s="444">
        <v>41043</v>
      </c>
      <c r="E2696" s="647"/>
      <c r="F2696" s="42" t="s">
        <v>315</v>
      </c>
      <c r="G2696" s="42"/>
      <c r="H2696" s="283"/>
      <c r="I2696" s="283"/>
      <c r="J2696" s="42"/>
      <c r="K2696" s="283">
        <v>20000</v>
      </c>
      <c r="L2696" s="283"/>
      <c r="M2696" s="283">
        <f t="shared" si="410"/>
        <v>20000</v>
      </c>
      <c r="N2696" s="283"/>
      <c r="O2696" s="815"/>
      <c r="P2696" s="164" t="s">
        <v>103</v>
      </c>
      <c r="Q2696" s="547">
        <f>SUM(Q2697:Q2698)</f>
        <v>10000</v>
      </c>
      <c r="R2696" s="547">
        <f>SUM(R2697:R2698)</f>
        <v>10000</v>
      </c>
      <c r="S2696" s="933"/>
      <c r="T2696" s="933"/>
      <c r="U2696" s="933"/>
      <c r="V2696" s="532"/>
      <c r="W2696" s="42" t="s">
        <v>930</v>
      </c>
      <c r="X2696" s="16">
        <f t="shared" si="411"/>
        <v>20000</v>
      </c>
      <c r="Y2696" s="16">
        <f>X2696-M2696</f>
        <v>0</v>
      </c>
    </row>
    <row r="2697" spans="1:25" s="709" customFormat="1" ht="16.5">
      <c r="A2697" s="741"/>
      <c r="B2697" s="42" t="s">
        <v>5689</v>
      </c>
      <c r="C2697" s="164"/>
      <c r="D2697" s="444"/>
      <c r="E2697" s="647"/>
      <c r="F2697" s="42"/>
      <c r="G2697" s="42"/>
      <c r="H2697" s="283"/>
      <c r="I2697" s="283"/>
      <c r="J2697" s="42"/>
      <c r="K2697" s="791"/>
      <c r="L2697" s="283"/>
      <c r="M2697" s="283">
        <f t="shared" si="410"/>
        <v>0</v>
      </c>
      <c r="N2697" s="283"/>
      <c r="O2697" s="815"/>
      <c r="P2697" s="164"/>
      <c r="Q2697" s="351">
        <v>0</v>
      </c>
      <c r="R2697" s="351">
        <v>0</v>
      </c>
      <c r="S2697" s="933"/>
      <c r="T2697" s="933"/>
      <c r="U2697" s="933"/>
      <c r="V2697" s="532"/>
      <c r="W2697" s="42"/>
      <c r="X2697" s="16"/>
      <c r="Y2697" s="16"/>
    </row>
    <row r="2698" spans="1:25" s="709" customFormat="1" ht="16.5">
      <c r="A2698" s="741"/>
      <c r="B2698" s="42" t="s">
        <v>5690</v>
      </c>
      <c r="C2698" s="164"/>
      <c r="D2698" s="444"/>
      <c r="E2698" s="647"/>
      <c r="F2698" s="42"/>
      <c r="G2698" s="42"/>
      <c r="H2698" s="283"/>
      <c r="I2698" s="283"/>
      <c r="J2698" s="42"/>
      <c r="K2698" s="283"/>
      <c r="L2698" s="283"/>
      <c r="M2698" s="283">
        <f t="shared" si="410"/>
        <v>0</v>
      </c>
      <c r="N2698" s="283"/>
      <c r="O2698" s="815"/>
      <c r="P2698" s="164"/>
      <c r="Q2698" s="351">
        <v>10000</v>
      </c>
      <c r="R2698" s="351">
        <v>10000</v>
      </c>
      <c r="S2698" s="933"/>
      <c r="T2698" s="933"/>
      <c r="U2698" s="933"/>
      <c r="V2698" s="532"/>
      <c r="W2698" s="42"/>
      <c r="X2698" s="16"/>
      <c r="Y2698" s="16"/>
    </row>
    <row r="2699" spans="1:25" s="709" customFormat="1" ht="16.5">
      <c r="A2699" s="741"/>
      <c r="B2699" s="545" t="s">
        <v>321</v>
      </c>
      <c r="C2699" s="164" t="s">
        <v>2622</v>
      </c>
      <c r="D2699" s="444">
        <v>41043</v>
      </c>
      <c r="E2699" s="647"/>
      <c r="F2699" s="42" t="s">
        <v>2621</v>
      </c>
      <c r="G2699" s="42"/>
      <c r="H2699" s="283"/>
      <c r="I2699" s="283"/>
      <c r="J2699" s="42"/>
      <c r="K2699" s="283">
        <v>10000</v>
      </c>
      <c r="L2699" s="283"/>
      <c r="M2699" s="283">
        <f t="shared" si="410"/>
        <v>10000</v>
      </c>
      <c r="N2699" s="283"/>
      <c r="O2699" s="815"/>
      <c r="P2699" s="164" t="s">
        <v>103</v>
      </c>
      <c r="Q2699" s="524">
        <v>10000</v>
      </c>
      <c r="R2699" s="524">
        <v>10000</v>
      </c>
      <c r="S2699" s="933"/>
      <c r="T2699" s="933"/>
      <c r="U2699" s="933"/>
      <c r="V2699" s="532"/>
      <c r="W2699" s="42" t="s">
        <v>930</v>
      </c>
      <c r="X2699" s="16">
        <f t="shared" si="411"/>
        <v>10000</v>
      </c>
      <c r="Y2699" s="16">
        <f>X2699-M2699</f>
        <v>0</v>
      </c>
    </row>
    <row r="2700" spans="1:25" s="709" customFormat="1" ht="16.5">
      <c r="A2700" s="741"/>
      <c r="B2700" s="545" t="s">
        <v>308</v>
      </c>
      <c r="C2700" s="164" t="s">
        <v>2623</v>
      </c>
      <c r="D2700" s="444">
        <v>41047</v>
      </c>
      <c r="E2700" s="647"/>
      <c r="F2700" s="42" t="s">
        <v>315</v>
      </c>
      <c r="G2700" s="42"/>
      <c r="H2700" s="283"/>
      <c r="I2700" s="283"/>
      <c r="J2700" s="42"/>
      <c r="K2700" s="283">
        <v>10000</v>
      </c>
      <c r="L2700" s="283"/>
      <c r="M2700" s="283">
        <f t="shared" si="410"/>
        <v>10000</v>
      </c>
      <c r="N2700" s="283"/>
      <c r="O2700" s="815"/>
      <c r="P2700" s="164" t="s">
        <v>103</v>
      </c>
      <c r="Q2700" s="547">
        <f>SUM(Q2701:Q2702)</f>
        <v>10000</v>
      </c>
      <c r="R2700" s="547">
        <f>SUM(R2701:R2702)</f>
        <v>10000</v>
      </c>
      <c r="S2700" s="1373"/>
      <c r="T2700" s="1373"/>
      <c r="U2700" s="1373"/>
      <c r="V2700" s="532"/>
      <c r="W2700" s="42" t="s">
        <v>930</v>
      </c>
      <c r="X2700" s="16">
        <f t="shared" si="411"/>
        <v>10000</v>
      </c>
      <c r="Y2700" s="16">
        <f>X2700-M2700</f>
        <v>0</v>
      </c>
    </row>
    <row r="2701" spans="1:25" s="709" customFormat="1" ht="69.75" customHeight="1">
      <c r="A2701" s="741"/>
      <c r="B2701" s="918" t="s">
        <v>2624</v>
      </c>
      <c r="C2701" s="164"/>
      <c r="D2701" s="444"/>
      <c r="E2701" s="329"/>
      <c r="F2701" s="42"/>
      <c r="G2701" s="42"/>
      <c r="H2701" s="283"/>
      <c r="I2701" s="283"/>
      <c r="J2701" s="42"/>
      <c r="K2701" s="283"/>
      <c r="L2701" s="283"/>
      <c r="M2701" s="283"/>
      <c r="N2701" s="283"/>
      <c r="O2701" s="815"/>
      <c r="P2701" s="164"/>
      <c r="Q2701" s="529">
        <v>5000</v>
      </c>
      <c r="R2701" s="529">
        <v>5000</v>
      </c>
      <c r="S2701" s="1346" t="s">
        <v>4632</v>
      </c>
      <c r="T2701" s="1346"/>
      <c r="U2701" s="1346"/>
      <c r="V2701" s="532"/>
      <c r="W2701" s="42"/>
      <c r="X2701" s="16"/>
      <c r="Y2701" s="16"/>
    </row>
    <row r="2702" spans="1:25" s="709" customFormat="1" ht="66.75" customHeight="1">
      <c r="A2702" s="741"/>
      <c r="B2702" s="918" t="s">
        <v>2404</v>
      </c>
      <c r="C2702" s="108"/>
      <c r="D2702" s="527"/>
      <c r="E2702" s="329"/>
      <c r="F2702" s="525"/>
      <c r="G2702" s="42"/>
      <c r="H2702" s="283"/>
      <c r="I2702" s="283"/>
      <c r="J2702" s="42"/>
      <c r="K2702" s="283"/>
      <c r="L2702" s="283"/>
      <c r="M2702" s="283"/>
      <c r="N2702" s="283"/>
      <c r="O2702" s="815"/>
      <c r="P2702" s="164"/>
      <c r="Q2702" s="529">
        <v>5000</v>
      </c>
      <c r="R2702" s="529">
        <v>5000</v>
      </c>
      <c r="S2702" s="1346" t="s">
        <v>4632</v>
      </c>
      <c r="T2702" s="1346"/>
      <c r="U2702" s="1346"/>
      <c r="V2702" s="532"/>
      <c r="W2702" s="42"/>
      <c r="X2702" s="16"/>
      <c r="Y2702" s="16"/>
    </row>
    <row r="2703" spans="1:25" s="709" customFormat="1" ht="16.5">
      <c r="A2703" s="741"/>
      <c r="B2703" s="545"/>
      <c r="C2703" s="164"/>
      <c r="D2703" s="444"/>
      <c r="E2703" s="647"/>
      <c r="F2703" s="42"/>
      <c r="G2703" s="42"/>
      <c r="H2703" s="283"/>
      <c r="I2703" s="283"/>
      <c r="J2703" s="42"/>
      <c r="K2703" s="283"/>
      <c r="L2703" s="283"/>
      <c r="M2703" s="283"/>
      <c r="N2703" s="283"/>
      <c r="O2703" s="815"/>
      <c r="P2703" s="164"/>
      <c r="Q2703" s="351"/>
      <c r="R2703" s="351"/>
      <c r="S2703" s="933"/>
      <c r="T2703" s="933"/>
      <c r="U2703" s="933"/>
      <c r="V2703" s="532"/>
      <c r="W2703" s="42"/>
      <c r="X2703" s="16"/>
      <c r="Y2703" s="16"/>
    </row>
    <row r="2704" spans="1:25" s="709" customFormat="1" ht="16.5">
      <c r="A2704" s="741"/>
      <c r="B2704" s="545" t="s">
        <v>343</v>
      </c>
      <c r="C2704" s="164" t="s">
        <v>2625</v>
      </c>
      <c r="D2704" s="444">
        <v>41047</v>
      </c>
      <c r="E2704" s="647"/>
      <c r="F2704" s="42" t="s">
        <v>405</v>
      </c>
      <c r="G2704" s="42"/>
      <c r="H2704" s="283"/>
      <c r="I2704" s="283"/>
      <c r="J2704" s="42"/>
      <c r="K2704" s="283">
        <v>15000</v>
      </c>
      <c r="L2704" s="283"/>
      <c r="M2704" s="283">
        <f t="shared" ref="M2704:M2716" si="412">SUM(K2704:L2704)</f>
        <v>15000</v>
      </c>
      <c r="N2704" s="283"/>
      <c r="O2704" s="815"/>
      <c r="P2704" s="164" t="s">
        <v>103</v>
      </c>
      <c r="Q2704" s="524">
        <v>15000</v>
      </c>
      <c r="R2704" s="524">
        <v>15000</v>
      </c>
      <c r="S2704" s="933"/>
      <c r="T2704" s="933"/>
      <c r="U2704" s="933"/>
      <c r="V2704" s="532"/>
      <c r="W2704" s="42" t="s">
        <v>930</v>
      </c>
      <c r="X2704" s="16">
        <f t="shared" ref="X2704:X2716" si="413">SUM(J2704:L2704)</f>
        <v>15000</v>
      </c>
      <c r="Y2704" s="16">
        <f t="shared" ref="Y2704:Y2710" si="414">X2704-M2704</f>
        <v>0</v>
      </c>
    </row>
    <row r="2705" spans="1:25" s="709" customFormat="1" ht="16.5">
      <c r="A2705" s="741"/>
      <c r="B2705" s="545" t="s">
        <v>337</v>
      </c>
      <c r="C2705" s="164" t="s">
        <v>2626</v>
      </c>
      <c r="D2705" s="444">
        <v>41052</v>
      </c>
      <c r="E2705" s="647"/>
      <c r="F2705" s="42" t="s">
        <v>1730</v>
      </c>
      <c r="G2705" s="42"/>
      <c r="H2705" s="283"/>
      <c r="I2705" s="283"/>
      <c r="J2705" s="42"/>
      <c r="K2705" s="283">
        <v>4000</v>
      </c>
      <c r="L2705" s="283"/>
      <c r="M2705" s="283">
        <f t="shared" si="412"/>
        <v>4000</v>
      </c>
      <c r="N2705" s="283"/>
      <c r="O2705" s="815"/>
      <c r="P2705" s="164" t="s">
        <v>103</v>
      </c>
      <c r="Q2705" s="524">
        <v>4000</v>
      </c>
      <c r="R2705" s="524">
        <v>4000</v>
      </c>
      <c r="S2705" s="933"/>
      <c r="T2705" s="933"/>
      <c r="U2705" s="933"/>
      <c r="V2705" s="532"/>
      <c r="W2705" s="42" t="s">
        <v>930</v>
      </c>
      <c r="X2705" s="16">
        <f t="shared" si="413"/>
        <v>4000</v>
      </c>
      <c r="Y2705" s="16">
        <f t="shared" si="414"/>
        <v>0</v>
      </c>
    </row>
    <row r="2706" spans="1:25" s="709" customFormat="1" ht="16.5">
      <c r="A2706" s="741"/>
      <c r="B2706" s="545" t="s">
        <v>314</v>
      </c>
      <c r="C2706" s="164" t="s">
        <v>2627</v>
      </c>
      <c r="D2706" s="444">
        <v>41057</v>
      </c>
      <c r="E2706" s="647"/>
      <c r="F2706" s="42" t="s">
        <v>1703</v>
      </c>
      <c r="G2706" s="42"/>
      <c r="H2706" s="283"/>
      <c r="I2706" s="283"/>
      <c r="J2706" s="42"/>
      <c r="K2706" s="283">
        <v>500</v>
      </c>
      <c r="L2706" s="283"/>
      <c r="M2706" s="283">
        <f t="shared" si="412"/>
        <v>500</v>
      </c>
      <c r="N2706" s="283"/>
      <c r="O2706" s="815"/>
      <c r="P2706" s="164" t="s">
        <v>103</v>
      </c>
      <c r="Q2706" s="524">
        <v>500</v>
      </c>
      <c r="R2706" s="524">
        <v>500</v>
      </c>
      <c r="S2706" s="933"/>
      <c r="T2706" s="933"/>
      <c r="U2706" s="933"/>
      <c r="V2706" s="532"/>
      <c r="W2706" s="42" t="s">
        <v>930</v>
      </c>
      <c r="X2706" s="16">
        <f t="shared" si="413"/>
        <v>500</v>
      </c>
      <c r="Y2706" s="16">
        <f t="shared" si="414"/>
        <v>0</v>
      </c>
    </row>
    <row r="2707" spans="1:25" s="709" customFormat="1" ht="16.5">
      <c r="A2707" s="741"/>
      <c r="B2707" s="545" t="s">
        <v>331</v>
      </c>
      <c r="C2707" s="164" t="s">
        <v>2629</v>
      </c>
      <c r="D2707" s="444">
        <v>41061</v>
      </c>
      <c r="E2707" s="647"/>
      <c r="F2707" s="42" t="s">
        <v>2628</v>
      </c>
      <c r="G2707" s="42"/>
      <c r="H2707" s="283"/>
      <c r="I2707" s="283"/>
      <c r="J2707" s="42"/>
      <c r="K2707" s="283">
        <v>6000</v>
      </c>
      <c r="L2707" s="283"/>
      <c r="M2707" s="283">
        <f t="shared" si="412"/>
        <v>6000</v>
      </c>
      <c r="N2707" s="283"/>
      <c r="O2707" s="815"/>
      <c r="P2707" s="164" t="s">
        <v>103</v>
      </c>
      <c r="Q2707" s="524">
        <v>6000</v>
      </c>
      <c r="R2707" s="524">
        <v>6000</v>
      </c>
      <c r="S2707" s="933"/>
      <c r="T2707" s="933"/>
      <c r="U2707" s="933"/>
      <c r="V2707" s="532"/>
      <c r="W2707" s="42" t="s">
        <v>930</v>
      </c>
      <c r="X2707" s="16">
        <f t="shared" si="413"/>
        <v>6000</v>
      </c>
      <c r="Y2707" s="16">
        <f t="shared" si="414"/>
        <v>0</v>
      </c>
    </row>
    <row r="2708" spans="1:25" s="709" customFormat="1" ht="16.5">
      <c r="A2708" s="741"/>
      <c r="B2708" s="545" t="s">
        <v>314</v>
      </c>
      <c r="C2708" s="164" t="s">
        <v>2633</v>
      </c>
      <c r="D2708" s="444">
        <v>41079</v>
      </c>
      <c r="E2708" s="647"/>
      <c r="F2708" s="42" t="s">
        <v>2632</v>
      </c>
      <c r="G2708" s="42"/>
      <c r="H2708" s="283"/>
      <c r="I2708" s="283"/>
      <c r="J2708" s="42"/>
      <c r="K2708" s="283">
        <v>12979</v>
      </c>
      <c r="L2708" s="283"/>
      <c r="M2708" s="283">
        <f t="shared" si="412"/>
        <v>12979</v>
      </c>
      <c r="N2708" s="283"/>
      <c r="O2708" s="815"/>
      <c r="P2708" s="164" t="s">
        <v>103</v>
      </c>
      <c r="Q2708" s="524">
        <v>12979</v>
      </c>
      <c r="R2708" s="524">
        <v>12979</v>
      </c>
      <c r="S2708" s="933"/>
      <c r="T2708" s="933"/>
      <c r="U2708" s="933"/>
      <c r="V2708" s="532"/>
      <c r="W2708" s="42" t="s">
        <v>930</v>
      </c>
      <c r="X2708" s="16">
        <f t="shared" si="413"/>
        <v>12979</v>
      </c>
      <c r="Y2708" s="16">
        <f t="shared" si="414"/>
        <v>0</v>
      </c>
    </row>
    <row r="2709" spans="1:25" s="709" customFormat="1" ht="16.5">
      <c r="A2709" s="741"/>
      <c r="B2709" s="545" t="s">
        <v>319</v>
      </c>
      <c r="C2709" s="164" t="s">
        <v>2634</v>
      </c>
      <c r="D2709" s="444">
        <v>41081</v>
      </c>
      <c r="E2709" s="647"/>
      <c r="F2709" s="42" t="s">
        <v>353</v>
      </c>
      <c r="G2709" s="42"/>
      <c r="H2709" s="283"/>
      <c r="I2709" s="283"/>
      <c r="J2709" s="42"/>
      <c r="K2709" s="283">
        <v>20000</v>
      </c>
      <c r="L2709" s="283"/>
      <c r="M2709" s="283">
        <f t="shared" si="412"/>
        <v>20000</v>
      </c>
      <c r="N2709" s="283"/>
      <c r="O2709" s="815"/>
      <c r="P2709" s="164" t="s">
        <v>103</v>
      </c>
      <c r="Q2709" s="524">
        <v>20000</v>
      </c>
      <c r="R2709" s="524">
        <v>20000</v>
      </c>
      <c r="S2709" s="933"/>
      <c r="T2709" s="933"/>
      <c r="U2709" s="933"/>
      <c r="V2709" s="532"/>
      <c r="W2709" s="42" t="s">
        <v>930</v>
      </c>
      <c r="X2709" s="16">
        <f t="shared" si="413"/>
        <v>20000</v>
      </c>
      <c r="Y2709" s="16">
        <f t="shared" si="414"/>
        <v>0</v>
      </c>
    </row>
    <row r="2710" spans="1:25" s="709" customFormat="1" ht="16.5">
      <c r="A2710" s="741"/>
      <c r="B2710" s="545" t="s">
        <v>311</v>
      </c>
      <c r="C2710" s="164" t="s">
        <v>2635</v>
      </c>
      <c r="D2710" s="444">
        <v>41085</v>
      </c>
      <c r="E2710" s="647"/>
      <c r="F2710" s="42" t="s">
        <v>315</v>
      </c>
      <c r="G2710" s="42"/>
      <c r="H2710" s="283"/>
      <c r="I2710" s="283"/>
      <c r="J2710" s="42"/>
      <c r="K2710" s="283">
        <v>15000</v>
      </c>
      <c r="L2710" s="283"/>
      <c r="M2710" s="283">
        <f>SUM(K2710:L2710)</f>
        <v>15000</v>
      </c>
      <c r="N2710" s="283"/>
      <c r="O2710" s="815"/>
      <c r="P2710" s="164" t="s">
        <v>103</v>
      </c>
      <c r="Q2710" s="547">
        <f>SUM(Q2711:Q2712)</f>
        <v>15000</v>
      </c>
      <c r="R2710" s="547">
        <f>SUM(R2711:R2712)</f>
        <v>15000</v>
      </c>
      <c r="S2710" s="933"/>
      <c r="T2710" s="933"/>
      <c r="U2710" s="933"/>
      <c r="V2710" s="532"/>
      <c r="W2710" s="42" t="s">
        <v>930</v>
      </c>
      <c r="X2710" s="16">
        <f t="shared" si="413"/>
        <v>15000</v>
      </c>
      <c r="Y2710" s="16">
        <f t="shared" si="414"/>
        <v>0</v>
      </c>
    </row>
    <row r="2711" spans="1:25" s="709" customFormat="1" ht="16.5">
      <c r="A2711" s="741"/>
      <c r="B2711" s="652" t="s">
        <v>5296</v>
      </c>
      <c r="C2711" s="164"/>
      <c r="D2711" s="444"/>
      <c r="E2711" s="647"/>
      <c r="F2711" s="42"/>
      <c r="G2711" s="42"/>
      <c r="H2711" s="283"/>
      <c r="I2711" s="283"/>
      <c r="J2711" s="42"/>
      <c r="K2711" s="791"/>
      <c r="L2711" s="283"/>
      <c r="M2711" s="283">
        <f>SUM(K2711:L2711)</f>
        <v>0</v>
      </c>
      <c r="N2711" s="283"/>
      <c r="O2711" s="815"/>
      <c r="P2711" s="164"/>
      <c r="Q2711" s="524">
        <v>5000</v>
      </c>
      <c r="R2711" s="524">
        <v>5000</v>
      </c>
      <c r="S2711" s="1328" t="s">
        <v>5298</v>
      </c>
      <c r="T2711" s="1328"/>
      <c r="U2711" s="1328"/>
      <c r="V2711" s="532"/>
      <c r="W2711" s="42"/>
      <c r="X2711" s="16"/>
      <c r="Y2711" s="16"/>
    </row>
    <row r="2712" spans="1:25" s="709" customFormat="1" ht="16.5">
      <c r="A2712" s="741"/>
      <c r="B2712" s="652" t="s">
        <v>5297</v>
      </c>
      <c r="C2712" s="164"/>
      <c r="D2712" s="444"/>
      <c r="E2712" s="647"/>
      <c r="F2712" s="42"/>
      <c r="G2712" s="42"/>
      <c r="H2712" s="283"/>
      <c r="I2712" s="283"/>
      <c r="J2712" s="42"/>
      <c r="K2712" s="791"/>
      <c r="L2712" s="283"/>
      <c r="M2712" s="283">
        <f>SUM(K2712:L2712)</f>
        <v>0</v>
      </c>
      <c r="N2712" s="283"/>
      <c r="O2712" s="815"/>
      <c r="P2712" s="164"/>
      <c r="Q2712" s="524">
        <v>10000</v>
      </c>
      <c r="R2712" s="524">
        <v>10000</v>
      </c>
      <c r="S2712" s="1328" t="s">
        <v>5298</v>
      </c>
      <c r="T2712" s="1328"/>
      <c r="U2712" s="1328"/>
      <c r="V2712" s="532"/>
      <c r="W2712" s="42"/>
      <c r="X2712" s="16"/>
      <c r="Y2712" s="16"/>
    </row>
    <row r="2713" spans="1:25" s="709" customFormat="1" ht="16.5">
      <c r="A2713" s="741"/>
      <c r="B2713" s="545" t="s">
        <v>314</v>
      </c>
      <c r="C2713" s="164" t="s">
        <v>2637</v>
      </c>
      <c r="D2713" s="444">
        <v>41085</v>
      </c>
      <c r="E2713" s="647"/>
      <c r="F2713" s="42" t="s">
        <v>2636</v>
      </c>
      <c r="G2713" s="42"/>
      <c r="H2713" s="283"/>
      <c r="I2713" s="283"/>
      <c r="J2713" s="42"/>
      <c r="K2713" s="283">
        <v>5000</v>
      </c>
      <c r="L2713" s="283"/>
      <c r="M2713" s="283">
        <f t="shared" si="412"/>
        <v>5000</v>
      </c>
      <c r="N2713" s="283"/>
      <c r="O2713" s="815"/>
      <c r="P2713" s="164" t="s">
        <v>103</v>
      </c>
      <c r="Q2713" s="524">
        <v>5000</v>
      </c>
      <c r="R2713" s="524">
        <v>5000</v>
      </c>
      <c r="S2713" s="933"/>
      <c r="T2713" s="933"/>
      <c r="U2713" s="933"/>
      <c r="V2713" s="532"/>
      <c r="W2713" s="42" t="s">
        <v>930</v>
      </c>
      <c r="X2713" s="16">
        <f t="shared" si="413"/>
        <v>5000</v>
      </c>
      <c r="Y2713" s="16">
        <f>X2713-M2713</f>
        <v>0</v>
      </c>
    </row>
    <row r="2714" spans="1:25" s="709" customFormat="1" ht="16.5">
      <c r="A2714" s="741"/>
      <c r="B2714" s="545" t="s">
        <v>321</v>
      </c>
      <c r="C2714" s="164" t="s">
        <v>2638</v>
      </c>
      <c r="D2714" s="444">
        <v>41085</v>
      </c>
      <c r="E2714" s="647"/>
      <c r="F2714" s="42" t="s">
        <v>2621</v>
      </c>
      <c r="G2714" s="42"/>
      <c r="H2714" s="283"/>
      <c r="I2714" s="283"/>
      <c r="J2714" s="42"/>
      <c r="K2714" s="283">
        <v>5000</v>
      </c>
      <c r="L2714" s="283"/>
      <c r="M2714" s="283">
        <f t="shared" si="412"/>
        <v>5000</v>
      </c>
      <c r="N2714" s="283"/>
      <c r="O2714" s="815"/>
      <c r="P2714" s="164" t="s">
        <v>103</v>
      </c>
      <c r="Q2714" s="524">
        <v>5000</v>
      </c>
      <c r="R2714" s="524">
        <v>5000</v>
      </c>
      <c r="S2714" s="933"/>
      <c r="T2714" s="933"/>
      <c r="U2714" s="933"/>
      <c r="V2714" s="546"/>
      <c r="W2714" s="42" t="s">
        <v>930</v>
      </c>
      <c r="X2714" s="16">
        <f t="shared" si="413"/>
        <v>5000</v>
      </c>
      <c r="Y2714" s="16">
        <f>X2714-M2714</f>
        <v>0</v>
      </c>
    </row>
    <row r="2715" spans="1:25" s="709" customFormat="1" ht="16.5">
      <c r="A2715" s="741"/>
      <c r="B2715" s="545" t="s">
        <v>380</v>
      </c>
      <c r="C2715" s="164" t="s">
        <v>2640</v>
      </c>
      <c r="D2715" s="444">
        <v>41085</v>
      </c>
      <c r="E2715" s="647"/>
      <c r="F2715" s="42" t="s">
        <v>2639</v>
      </c>
      <c r="G2715" s="42"/>
      <c r="H2715" s="283"/>
      <c r="I2715" s="283"/>
      <c r="J2715" s="42"/>
      <c r="K2715" s="283">
        <v>10000</v>
      </c>
      <c r="L2715" s="283"/>
      <c r="M2715" s="283">
        <f t="shared" si="412"/>
        <v>10000</v>
      </c>
      <c r="N2715" s="283"/>
      <c r="O2715" s="815"/>
      <c r="P2715" s="164" t="s">
        <v>103</v>
      </c>
      <c r="Q2715" s="999">
        <v>10000</v>
      </c>
      <c r="R2715" s="999">
        <v>10000</v>
      </c>
      <c r="S2715" s="933"/>
      <c r="T2715" s="933"/>
      <c r="U2715" s="933"/>
      <c r="V2715" s="532"/>
      <c r="W2715" s="42" t="s">
        <v>930</v>
      </c>
      <c r="X2715" s="16">
        <f t="shared" si="413"/>
        <v>10000</v>
      </c>
      <c r="Y2715" s="16">
        <f>X2715-M2715</f>
        <v>0</v>
      </c>
    </row>
    <row r="2716" spans="1:25" s="709" customFormat="1" ht="16.5">
      <c r="A2716" s="741"/>
      <c r="B2716" s="545" t="s">
        <v>308</v>
      </c>
      <c r="C2716" s="164" t="s">
        <v>2641</v>
      </c>
      <c r="D2716" s="444">
        <v>41085</v>
      </c>
      <c r="E2716" s="647"/>
      <c r="F2716" s="42" t="s">
        <v>315</v>
      </c>
      <c r="G2716" s="42"/>
      <c r="H2716" s="283"/>
      <c r="I2716" s="283"/>
      <c r="J2716" s="42"/>
      <c r="K2716" s="283">
        <v>15000</v>
      </c>
      <c r="L2716" s="283"/>
      <c r="M2716" s="283">
        <f t="shared" si="412"/>
        <v>15000</v>
      </c>
      <c r="N2716" s="283"/>
      <c r="O2716" s="815"/>
      <c r="P2716" s="164" t="s">
        <v>103</v>
      </c>
      <c r="Q2716" s="916">
        <f>SUM(Q2717:Q2718)</f>
        <v>15000</v>
      </c>
      <c r="R2716" s="916">
        <f>SUM(R2717:R2718)</f>
        <v>15000</v>
      </c>
      <c r="S2716" s="715"/>
      <c r="T2716" s="715"/>
      <c r="U2716" s="715"/>
      <c r="V2716" s="532"/>
      <c r="W2716" s="42" t="s">
        <v>930</v>
      </c>
      <c r="X2716" s="16">
        <f t="shared" si="413"/>
        <v>15000</v>
      </c>
      <c r="Y2716" s="16">
        <f>X2716-M2716</f>
        <v>0</v>
      </c>
    </row>
    <row r="2717" spans="1:25" s="709" customFormat="1" ht="32.25" customHeight="1">
      <c r="A2717" s="741"/>
      <c r="B2717" s="918" t="s">
        <v>2616</v>
      </c>
      <c r="C2717" s="108"/>
      <c r="D2717" s="527"/>
      <c r="E2717" s="329"/>
      <c r="F2717" s="525"/>
      <c r="G2717" s="525"/>
      <c r="H2717" s="21"/>
      <c r="I2717" s="21"/>
      <c r="J2717" s="525"/>
      <c r="K2717" s="21"/>
      <c r="L2717" s="21"/>
      <c r="M2717" s="21"/>
      <c r="N2717" s="21"/>
      <c r="O2717" s="58"/>
      <c r="P2717" s="108"/>
      <c r="Q2717" s="529">
        <v>10000</v>
      </c>
      <c r="R2717" s="529">
        <v>10000</v>
      </c>
      <c r="S2717" s="1346" t="s">
        <v>4632</v>
      </c>
      <c r="T2717" s="1346"/>
      <c r="U2717" s="1346"/>
      <c r="V2717" s="532"/>
      <c r="W2717" s="42"/>
      <c r="X2717" s="16"/>
      <c r="Y2717" s="16"/>
    </row>
    <row r="2718" spans="1:25" s="709" customFormat="1" ht="31.5" customHeight="1">
      <c r="A2718" s="741"/>
      <c r="B2718" s="918" t="s">
        <v>2617</v>
      </c>
      <c r="C2718" s="108"/>
      <c r="D2718" s="527"/>
      <c r="E2718" s="329"/>
      <c r="F2718" s="525"/>
      <c r="G2718" s="525"/>
      <c r="H2718" s="21"/>
      <c r="I2718" s="21"/>
      <c r="J2718" s="525"/>
      <c r="K2718" s="21"/>
      <c r="L2718" s="21"/>
      <c r="M2718" s="21"/>
      <c r="N2718" s="21"/>
      <c r="O2718" s="58"/>
      <c r="P2718" s="108"/>
      <c r="Q2718" s="529">
        <v>5000</v>
      </c>
      <c r="R2718" s="529">
        <v>5000</v>
      </c>
      <c r="S2718" s="1346"/>
      <c r="T2718" s="1346"/>
      <c r="U2718" s="1346"/>
      <c r="V2718" s="532"/>
      <c r="W2718" s="42"/>
      <c r="X2718" s="16"/>
      <c r="Y2718" s="16"/>
    </row>
    <row r="2719" spans="1:25" s="709" customFormat="1" ht="16.5">
      <c r="A2719" s="741"/>
      <c r="B2719" s="545"/>
      <c r="C2719" s="164"/>
      <c r="D2719" s="444"/>
      <c r="E2719" s="647"/>
      <c r="F2719" s="42"/>
      <c r="G2719" s="42"/>
      <c r="H2719" s="283"/>
      <c r="I2719" s="283"/>
      <c r="J2719" s="42"/>
      <c r="K2719" s="283"/>
      <c r="L2719" s="283"/>
      <c r="M2719" s="283"/>
      <c r="N2719" s="283"/>
      <c r="O2719" s="815"/>
      <c r="P2719" s="164"/>
      <c r="Q2719" s="351"/>
      <c r="R2719" s="351"/>
      <c r="S2719" s="933"/>
      <c r="T2719" s="933"/>
      <c r="U2719" s="933"/>
      <c r="V2719" s="532"/>
      <c r="W2719" s="42"/>
      <c r="X2719" s="16"/>
      <c r="Y2719" s="16"/>
    </row>
    <row r="2720" spans="1:25" s="709" customFormat="1" ht="16.5">
      <c r="A2720" s="741"/>
      <c r="B2720" s="545" t="s">
        <v>314</v>
      </c>
      <c r="C2720" s="164" t="s">
        <v>2643</v>
      </c>
      <c r="D2720" s="444">
        <v>41089</v>
      </c>
      <c r="E2720" s="647"/>
      <c r="F2720" s="42" t="s">
        <v>2642</v>
      </c>
      <c r="G2720" s="42"/>
      <c r="H2720" s="283"/>
      <c r="I2720" s="283"/>
      <c r="J2720" s="42"/>
      <c r="K2720" s="283">
        <f>SUM(K2721:K2722)</f>
        <v>1000</v>
      </c>
      <c r="L2720" s="283"/>
      <c r="M2720" s="283">
        <f t="shared" ref="M2720:M2723" si="415">SUM(K2720:L2720)</f>
        <v>1000</v>
      </c>
      <c r="N2720" s="283"/>
      <c r="O2720" s="815"/>
      <c r="P2720" s="164" t="s">
        <v>103</v>
      </c>
      <c r="Q2720" s="524"/>
      <c r="R2720" s="524"/>
      <c r="S2720" s="933"/>
      <c r="T2720" s="933"/>
      <c r="U2720" s="933"/>
      <c r="V2720" s="532"/>
      <c r="W2720" s="42" t="s">
        <v>930</v>
      </c>
      <c r="X2720" s="16">
        <f t="shared" ref="X2720:X2723" si="416">SUM(J2720:L2720)</f>
        <v>1000</v>
      </c>
      <c r="Y2720" s="16">
        <f>X2720-M2720</f>
        <v>0</v>
      </c>
    </row>
    <row r="2721" spans="1:25" s="709" customFormat="1" ht="16.5">
      <c r="A2721" s="741"/>
      <c r="B2721" s="42" t="s">
        <v>5691</v>
      </c>
      <c r="C2721" s="164"/>
      <c r="D2721" s="444"/>
      <c r="E2721" s="647"/>
      <c r="F2721" s="42"/>
      <c r="G2721" s="42"/>
      <c r="H2721" s="283"/>
      <c r="I2721" s="283"/>
      <c r="J2721" s="42"/>
      <c r="K2721" s="791">
        <v>500</v>
      </c>
      <c r="L2721" s="283"/>
      <c r="M2721" s="283"/>
      <c r="N2721" s="283"/>
      <c r="O2721" s="815"/>
      <c r="P2721" s="164"/>
      <c r="Q2721" s="351">
        <v>494</v>
      </c>
      <c r="R2721" s="351">
        <v>494</v>
      </c>
      <c r="S2721" s="933"/>
      <c r="T2721" s="933"/>
      <c r="U2721" s="933"/>
      <c r="V2721" s="532"/>
      <c r="W2721" s="42"/>
      <c r="X2721" s="16"/>
      <c r="Y2721" s="16"/>
    </row>
    <row r="2722" spans="1:25" s="709" customFormat="1" ht="16.5">
      <c r="A2722" s="741"/>
      <c r="B2722" s="42" t="s">
        <v>5692</v>
      </c>
      <c r="C2722" s="164"/>
      <c r="D2722" s="444"/>
      <c r="E2722" s="647"/>
      <c r="F2722" s="42"/>
      <c r="G2722" s="42"/>
      <c r="H2722" s="283"/>
      <c r="I2722" s="283"/>
      <c r="J2722" s="42"/>
      <c r="K2722" s="283">
        <v>500</v>
      </c>
      <c r="L2722" s="283"/>
      <c r="M2722" s="283"/>
      <c r="N2722" s="283"/>
      <c r="O2722" s="815"/>
      <c r="P2722" s="164"/>
      <c r="Q2722" s="351">
        <v>500</v>
      </c>
      <c r="R2722" s="351">
        <v>500</v>
      </c>
      <c r="S2722" s="933"/>
      <c r="T2722" s="933"/>
      <c r="U2722" s="933"/>
      <c r="V2722" s="532"/>
      <c r="W2722" s="42"/>
      <c r="X2722" s="16"/>
      <c r="Y2722" s="16"/>
    </row>
    <row r="2723" spans="1:25" s="709" customFormat="1" ht="16.5">
      <c r="A2723" s="741"/>
      <c r="B2723" s="545" t="s">
        <v>349</v>
      </c>
      <c r="C2723" s="164" t="s">
        <v>2645</v>
      </c>
      <c r="D2723" s="444">
        <v>41171</v>
      </c>
      <c r="E2723" s="647"/>
      <c r="F2723" s="42" t="s">
        <v>2644</v>
      </c>
      <c r="G2723" s="42"/>
      <c r="H2723" s="283"/>
      <c r="I2723" s="283"/>
      <c r="J2723" s="42"/>
      <c r="K2723" s="283">
        <v>14995</v>
      </c>
      <c r="L2723" s="283"/>
      <c r="M2723" s="283">
        <f t="shared" si="415"/>
        <v>14995</v>
      </c>
      <c r="N2723" s="283"/>
      <c r="O2723" s="815"/>
      <c r="P2723" s="164" t="s">
        <v>103</v>
      </c>
      <c r="Q2723" s="507">
        <f>SUM(Q2724:Q2744)</f>
        <v>14995</v>
      </c>
      <c r="R2723" s="507">
        <f>SUM(R2724:R2744)</f>
        <v>14995</v>
      </c>
      <c r="S2723" s="933"/>
      <c r="T2723" s="933"/>
      <c r="U2723" s="933"/>
      <c r="V2723" s="532"/>
      <c r="W2723" s="42" t="s">
        <v>930</v>
      </c>
      <c r="X2723" s="16">
        <f t="shared" si="416"/>
        <v>14995</v>
      </c>
      <c r="Y2723" s="16">
        <f>X2723-M2723</f>
        <v>0</v>
      </c>
    </row>
    <row r="2724" spans="1:25" s="709" customFormat="1" ht="15" customHeight="1">
      <c r="A2724" s="741"/>
      <c r="B2724" s="1185" t="s">
        <v>1919</v>
      </c>
      <c r="C2724" s="164"/>
      <c r="D2724" s="444"/>
      <c r="E2724" s="329"/>
      <c r="F2724" s="42"/>
      <c r="G2724" s="42"/>
      <c r="H2724" s="283"/>
      <c r="I2724" s="283"/>
      <c r="J2724" s="42"/>
      <c r="K2724" s="283"/>
      <c r="L2724" s="283"/>
      <c r="M2724" s="283"/>
      <c r="N2724" s="283"/>
      <c r="O2724" s="815"/>
      <c r="P2724" s="164"/>
      <c r="Q2724" s="529">
        <v>1640</v>
      </c>
      <c r="R2724" s="529">
        <v>1640</v>
      </c>
      <c r="S2724" s="1361" t="s">
        <v>2646</v>
      </c>
      <c r="T2724" s="1361"/>
      <c r="U2724" s="1361"/>
      <c r="V2724" s="532"/>
      <c r="W2724" s="42"/>
      <c r="X2724" s="16"/>
      <c r="Y2724" s="16"/>
    </row>
    <row r="2725" spans="1:25" s="709" customFormat="1" ht="16.5">
      <c r="A2725" s="741"/>
      <c r="B2725" s="1185" t="s">
        <v>1566</v>
      </c>
      <c r="C2725" s="164"/>
      <c r="D2725" s="444"/>
      <c r="E2725" s="329"/>
      <c r="F2725" s="42"/>
      <c r="G2725" s="42"/>
      <c r="H2725" s="283"/>
      <c r="I2725" s="283"/>
      <c r="J2725" s="42"/>
      <c r="K2725" s="283"/>
      <c r="L2725" s="283"/>
      <c r="M2725" s="283"/>
      <c r="N2725" s="283"/>
      <c r="O2725" s="815"/>
      <c r="P2725" s="164"/>
      <c r="Q2725" s="529">
        <v>1640</v>
      </c>
      <c r="R2725" s="529">
        <v>1640</v>
      </c>
      <c r="S2725" s="1361"/>
      <c r="T2725" s="1361"/>
      <c r="U2725" s="1361"/>
      <c r="V2725" s="532"/>
      <c r="W2725" s="42"/>
      <c r="X2725" s="16"/>
      <c r="Y2725" s="16"/>
    </row>
    <row r="2726" spans="1:25" s="709" customFormat="1" ht="16.5">
      <c r="A2726" s="741"/>
      <c r="B2726" s="1185" t="s">
        <v>2647</v>
      </c>
      <c r="C2726" s="164"/>
      <c r="D2726" s="444"/>
      <c r="E2726" s="329"/>
      <c r="F2726" s="42"/>
      <c r="G2726" s="42"/>
      <c r="H2726" s="283"/>
      <c r="I2726" s="283"/>
      <c r="J2726" s="42"/>
      <c r="K2726" s="283"/>
      <c r="L2726" s="283"/>
      <c r="M2726" s="283"/>
      <c r="N2726" s="283"/>
      <c r="O2726" s="815"/>
      <c r="P2726" s="164"/>
      <c r="Q2726" s="529">
        <v>925</v>
      </c>
      <c r="R2726" s="529">
        <v>925</v>
      </c>
      <c r="S2726" s="1361"/>
      <c r="T2726" s="1361"/>
      <c r="U2726" s="1361"/>
      <c r="V2726" s="532"/>
      <c r="W2726" s="42"/>
      <c r="X2726" s="16"/>
      <c r="Y2726" s="16"/>
    </row>
    <row r="2727" spans="1:25" s="709" customFormat="1" ht="16.5">
      <c r="A2727" s="741"/>
      <c r="B2727" s="1185" t="s">
        <v>1576</v>
      </c>
      <c r="C2727" s="164"/>
      <c r="D2727" s="444"/>
      <c r="E2727" s="329"/>
      <c r="F2727" s="42"/>
      <c r="G2727" s="42"/>
      <c r="H2727" s="283"/>
      <c r="I2727" s="283"/>
      <c r="J2727" s="42"/>
      <c r="K2727" s="283"/>
      <c r="L2727" s="283"/>
      <c r="M2727" s="283"/>
      <c r="N2727" s="283"/>
      <c r="O2727" s="815"/>
      <c r="P2727" s="164"/>
      <c r="Q2727" s="529">
        <v>925</v>
      </c>
      <c r="R2727" s="529">
        <v>925</v>
      </c>
      <c r="S2727" s="1361"/>
      <c r="T2727" s="1361"/>
      <c r="U2727" s="1361"/>
      <c r="V2727" s="532"/>
      <c r="W2727" s="42"/>
      <c r="X2727" s="16"/>
      <c r="Y2727" s="16"/>
    </row>
    <row r="2728" spans="1:25" s="709" customFormat="1" ht="16.5">
      <c r="A2728" s="741"/>
      <c r="B2728" s="1185" t="s">
        <v>1577</v>
      </c>
      <c r="C2728" s="164"/>
      <c r="D2728" s="444"/>
      <c r="E2728" s="329"/>
      <c r="F2728" s="42"/>
      <c r="G2728" s="42"/>
      <c r="H2728" s="283"/>
      <c r="I2728" s="283"/>
      <c r="J2728" s="42"/>
      <c r="K2728" s="283"/>
      <c r="L2728" s="283"/>
      <c r="M2728" s="283"/>
      <c r="N2728" s="283"/>
      <c r="O2728" s="815"/>
      <c r="P2728" s="164"/>
      <c r="Q2728" s="529">
        <v>925</v>
      </c>
      <c r="R2728" s="529">
        <v>925</v>
      </c>
      <c r="S2728" s="1361"/>
      <c r="T2728" s="1361"/>
      <c r="U2728" s="1361"/>
      <c r="V2728" s="532"/>
      <c r="W2728" s="42"/>
      <c r="X2728" s="16"/>
      <c r="Y2728" s="16"/>
    </row>
    <row r="2729" spans="1:25" s="709" customFormat="1" ht="16.5">
      <c r="A2729" s="741"/>
      <c r="B2729" s="1185" t="s">
        <v>1578</v>
      </c>
      <c r="C2729" s="164"/>
      <c r="D2729" s="444"/>
      <c r="E2729" s="329"/>
      <c r="F2729" s="42"/>
      <c r="G2729" s="42"/>
      <c r="H2729" s="283"/>
      <c r="I2729" s="283"/>
      <c r="J2729" s="42"/>
      <c r="K2729" s="283"/>
      <c r="L2729" s="283"/>
      <c r="M2729" s="283"/>
      <c r="N2729" s="283"/>
      <c r="O2729" s="815"/>
      <c r="P2729" s="164"/>
      <c r="Q2729" s="529">
        <v>925</v>
      </c>
      <c r="R2729" s="529">
        <v>925</v>
      </c>
      <c r="S2729" s="1361"/>
      <c r="T2729" s="1361"/>
      <c r="U2729" s="1361"/>
      <c r="V2729" s="532"/>
      <c r="W2729" s="42"/>
      <c r="X2729" s="16"/>
      <c r="Y2729" s="16"/>
    </row>
    <row r="2730" spans="1:25" s="709" customFormat="1" ht="16.5">
      <c r="A2730" s="741"/>
      <c r="B2730" s="1185" t="s">
        <v>2648</v>
      </c>
      <c r="C2730" s="164"/>
      <c r="D2730" s="444"/>
      <c r="E2730" s="329"/>
      <c r="F2730" s="42"/>
      <c r="G2730" s="42"/>
      <c r="H2730" s="283"/>
      <c r="I2730" s="283"/>
      <c r="J2730" s="42"/>
      <c r="K2730" s="283"/>
      <c r="L2730" s="283"/>
      <c r="M2730" s="283"/>
      <c r="N2730" s="283"/>
      <c r="O2730" s="815"/>
      <c r="P2730" s="164"/>
      <c r="Q2730" s="529">
        <v>520</v>
      </c>
      <c r="R2730" s="529">
        <v>520</v>
      </c>
      <c r="S2730" s="1361"/>
      <c r="T2730" s="1361"/>
      <c r="U2730" s="1361"/>
      <c r="V2730" s="532"/>
      <c r="W2730" s="42"/>
      <c r="X2730" s="16"/>
      <c r="Y2730" s="16"/>
    </row>
    <row r="2731" spans="1:25" s="709" customFormat="1" ht="16.5">
      <c r="A2731" s="741"/>
      <c r="B2731" s="1185" t="s">
        <v>1579</v>
      </c>
      <c r="C2731" s="164"/>
      <c r="D2731" s="444"/>
      <c r="E2731" s="329"/>
      <c r="F2731" s="42"/>
      <c r="G2731" s="42"/>
      <c r="H2731" s="283"/>
      <c r="I2731" s="283"/>
      <c r="J2731" s="42"/>
      <c r="K2731" s="283"/>
      <c r="L2731" s="283"/>
      <c r="M2731" s="283"/>
      <c r="N2731" s="283"/>
      <c r="O2731" s="815"/>
      <c r="P2731" s="164"/>
      <c r="Q2731" s="529">
        <v>520</v>
      </c>
      <c r="R2731" s="529">
        <v>520</v>
      </c>
      <c r="S2731" s="1361"/>
      <c r="T2731" s="1361"/>
      <c r="U2731" s="1361"/>
      <c r="V2731" s="532"/>
      <c r="W2731" s="42"/>
      <c r="X2731" s="16"/>
      <c r="Y2731" s="16"/>
    </row>
    <row r="2732" spans="1:25" s="709" customFormat="1" ht="16.5">
      <c r="A2732" s="741"/>
      <c r="B2732" s="1185" t="s">
        <v>1585</v>
      </c>
      <c r="C2732" s="164"/>
      <c r="D2732" s="444"/>
      <c r="E2732" s="329"/>
      <c r="F2732" s="42"/>
      <c r="G2732" s="42"/>
      <c r="H2732" s="283"/>
      <c r="I2732" s="283"/>
      <c r="J2732" s="42"/>
      <c r="K2732" s="283"/>
      <c r="L2732" s="283"/>
      <c r="M2732" s="283"/>
      <c r="N2732" s="283"/>
      <c r="O2732" s="815"/>
      <c r="P2732" s="164"/>
      <c r="Q2732" s="529">
        <v>450</v>
      </c>
      <c r="R2732" s="529">
        <v>450</v>
      </c>
      <c r="S2732" s="1361"/>
      <c r="T2732" s="1361"/>
      <c r="U2732" s="1361"/>
      <c r="V2732" s="532"/>
      <c r="W2732" s="42"/>
      <c r="X2732" s="16"/>
      <c r="Y2732" s="16"/>
    </row>
    <row r="2733" spans="1:25" s="709" customFormat="1" ht="16.5">
      <c r="A2733" s="741"/>
      <c r="B2733" s="1185" t="s">
        <v>1584</v>
      </c>
      <c r="C2733" s="164"/>
      <c r="D2733" s="444"/>
      <c r="E2733" s="329"/>
      <c r="F2733" s="42"/>
      <c r="G2733" s="42"/>
      <c r="H2733" s="283"/>
      <c r="I2733" s="283"/>
      <c r="J2733" s="42"/>
      <c r="K2733" s="283"/>
      <c r="L2733" s="283"/>
      <c r="M2733" s="283"/>
      <c r="N2733" s="283"/>
      <c r="O2733" s="815"/>
      <c r="P2733" s="164"/>
      <c r="Q2733" s="529">
        <v>450</v>
      </c>
      <c r="R2733" s="529">
        <v>450</v>
      </c>
      <c r="S2733" s="1361"/>
      <c r="T2733" s="1361"/>
      <c r="U2733" s="1361"/>
      <c r="V2733" s="532"/>
      <c r="W2733" s="42"/>
      <c r="X2733" s="16"/>
      <c r="Y2733" s="16"/>
    </row>
    <row r="2734" spans="1:25" s="709" customFormat="1" ht="16.5">
      <c r="A2734" s="741"/>
      <c r="B2734" s="1185" t="s">
        <v>1586</v>
      </c>
      <c r="C2734" s="164"/>
      <c r="D2734" s="444"/>
      <c r="E2734" s="329"/>
      <c r="F2734" s="42"/>
      <c r="G2734" s="42"/>
      <c r="H2734" s="283"/>
      <c r="I2734" s="283"/>
      <c r="J2734" s="42"/>
      <c r="K2734" s="283"/>
      <c r="L2734" s="283"/>
      <c r="M2734" s="283"/>
      <c r="N2734" s="283"/>
      <c r="O2734" s="815"/>
      <c r="P2734" s="164"/>
      <c r="Q2734" s="529">
        <v>450</v>
      </c>
      <c r="R2734" s="529">
        <v>450</v>
      </c>
      <c r="S2734" s="1361"/>
      <c r="T2734" s="1361"/>
      <c r="U2734" s="1361"/>
      <c r="V2734" s="532"/>
      <c r="W2734" s="42"/>
      <c r="X2734" s="16"/>
      <c r="Y2734" s="16"/>
    </row>
    <row r="2735" spans="1:25" s="709" customFormat="1" ht="16.5">
      <c r="A2735" s="741"/>
      <c r="B2735" s="1185" t="s">
        <v>2582</v>
      </c>
      <c r="C2735" s="164"/>
      <c r="D2735" s="444"/>
      <c r="E2735" s="329"/>
      <c r="F2735" s="42"/>
      <c r="G2735" s="42"/>
      <c r="H2735" s="283"/>
      <c r="I2735" s="283"/>
      <c r="J2735" s="42"/>
      <c r="K2735" s="283"/>
      <c r="L2735" s="283"/>
      <c r="M2735" s="283"/>
      <c r="N2735" s="283"/>
      <c r="O2735" s="815"/>
      <c r="P2735" s="164"/>
      <c r="Q2735" s="529">
        <v>360</v>
      </c>
      <c r="R2735" s="529">
        <v>360</v>
      </c>
      <c r="S2735" s="1361"/>
      <c r="T2735" s="1361"/>
      <c r="U2735" s="1361"/>
      <c r="V2735" s="532"/>
      <c r="W2735" s="42"/>
      <c r="X2735" s="16"/>
      <c r="Y2735" s="16"/>
    </row>
    <row r="2736" spans="1:25" s="709" customFormat="1" ht="16.5">
      <c r="A2736" s="741"/>
      <c r="B2736" s="1185" t="s">
        <v>2649</v>
      </c>
      <c r="C2736" s="164"/>
      <c r="D2736" s="444"/>
      <c r="E2736" s="329"/>
      <c r="F2736" s="42"/>
      <c r="G2736" s="42"/>
      <c r="H2736" s="283"/>
      <c r="I2736" s="283"/>
      <c r="J2736" s="42"/>
      <c r="K2736" s="283"/>
      <c r="L2736" s="283"/>
      <c r="M2736" s="283"/>
      <c r="N2736" s="283"/>
      <c r="O2736" s="815"/>
      <c r="P2736" s="164"/>
      <c r="Q2736" s="529">
        <v>270</v>
      </c>
      <c r="R2736" s="529">
        <v>270</v>
      </c>
      <c r="S2736" s="1361"/>
      <c r="T2736" s="1361"/>
      <c r="U2736" s="1361"/>
      <c r="V2736" s="532"/>
      <c r="W2736" s="42"/>
      <c r="X2736" s="16"/>
      <c r="Y2736" s="16"/>
    </row>
    <row r="2737" spans="1:25" s="709" customFormat="1" ht="16.5">
      <c r="A2737" s="741"/>
      <c r="B2737" s="1185" t="s">
        <v>1587</v>
      </c>
      <c r="C2737" s="164"/>
      <c r="D2737" s="444"/>
      <c r="E2737" s="329"/>
      <c r="F2737" s="42"/>
      <c r="G2737" s="42"/>
      <c r="H2737" s="283"/>
      <c r="I2737" s="283"/>
      <c r="J2737" s="42"/>
      <c r="K2737" s="283"/>
      <c r="L2737" s="283"/>
      <c r="M2737" s="283"/>
      <c r="N2737" s="283"/>
      <c r="O2737" s="815"/>
      <c r="P2737" s="164"/>
      <c r="Q2737" s="529">
        <v>565</v>
      </c>
      <c r="R2737" s="529">
        <v>565</v>
      </c>
      <c r="S2737" s="1361"/>
      <c r="T2737" s="1361"/>
      <c r="U2737" s="1361"/>
      <c r="V2737" s="532"/>
      <c r="W2737" s="42"/>
      <c r="X2737" s="16"/>
      <c r="Y2737" s="16"/>
    </row>
    <row r="2738" spans="1:25" s="709" customFormat="1" ht="16.5">
      <c r="A2738" s="741"/>
      <c r="B2738" s="1185" t="s">
        <v>1588</v>
      </c>
      <c r="C2738" s="164"/>
      <c r="D2738" s="444"/>
      <c r="E2738" s="329"/>
      <c r="F2738" s="42"/>
      <c r="G2738" s="42"/>
      <c r="H2738" s="283"/>
      <c r="I2738" s="283"/>
      <c r="J2738" s="42"/>
      <c r="K2738" s="283"/>
      <c r="L2738" s="283"/>
      <c r="M2738" s="283"/>
      <c r="N2738" s="283"/>
      <c r="O2738" s="815"/>
      <c r="P2738" s="164"/>
      <c r="Q2738" s="529">
        <v>1355</v>
      </c>
      <c r="R2738" s="529">
        <v>1355</v>
      </c>
      <c r="S2738" s="1361"/>
      <c r="T2738" s="1361"/>
      <c r="U2738" s="1361"/>
      <c r="V2738" s="532"/>
      <c r="W2738" s="42"/>
      <c r="X2738" s="16"/>
      <c r="Y2738" s="16"/>
    </row>
    <row r="2739" spans="1:25" s="709" customFormat="1" ht="16.5">
      <c r="A2739" s="741"/>
      <c r="B2739" s="1185" t="s">
        <v>1589</v>
      </c>
      <c r="C2739" s="164"/>
      <c r="D2739" s="444"/>
      <c r="E2739" s="329"/>
      <c r="F2739" s="42"/>
      <c r="G2739" s="42"/>
      <c r="H2739" s="283"/>
      <c r="I2739" s="283"/>
      <c r="J2739" s="42"/>
      <c r="K2739" s="283"/>
      <c r="L2739" s="283"/>
      <c r="M2739" s="283"/>
      <c r="N2739" s="283"/>
      <c r="O2739" s="815"/>
      <c r="P2739" s="164"/>
      <c r="Q2739" s="529">
        <v>225</v>
      </c>
      <c r="R2739" s="529">
        <v>225</v>
      </c>
      <c r="S2739" s="1361"/>
      <c r="T2739" s="1361"/>
      <c r="U2739" s="1361"/>
      <c r="V2739" s="532"/>
      <c r="W2739" s="42"/>
      <c r="X2739" s="16"/>
      <c r="Y2739" s="16"/>
    </row>
    <row r="2740" spans="1:25" s="709" customFormat="1" ht="16.5">
      <c r="A2740" s="741"/>
      <c r="B2740" s="1185" t="s">
        <v>1569</v>
      </c>
      <c r="C2740" s="164"/>
      <c r="D2740" s="444"/>
      <c r="E2740" s="329"/>
      <c r="F2740" s="42"/>
      <c r="G2740" s="42"/>
      <c r="H2740" s="283"/>
      <c r="I2740" s="283"/>
      <c r="J2740" s="42"/>
      <c r="K2740" s="283"/>
      <c r="L2740" s="283"/>
      <c r="M2740" s="283"/>
      <c r="N2740" s="283"/>
      <c r="O2740" s="815"/>
      <c r="P2740" s="164"/>
      <c r="Q2740" s="529">
        <v>570</v>
      </c>
      <c r="R2740" s="529">
        <v>570</v>
      </c>
      <c r="S2740" s="1361"/>
      <c r="T2740" s="1361"/>
      <c r="U2740" s="1361"/>
      <c r="V2740" s="532"/>
      <c r="W2740" s="42"/>
      <c r="X2740" s="16"/>
      <c r="Y2740" s="16"/>
    </row>
    <row r="2741" spans="1:25" s="709" customFormat="1" ht="16.5">
      <c r="A2741" s="741"/>
      <c r="B2741" s="1185" t="s">
        <v>1567</v>
      </c>
      <c r="C2741" s="164"/>
      <c r="D2741" s="444"/>
      <c r="E2741" s="329"/>
      <c r="F2741" s="42"/>
      <c r="G2741" s="42"/>
      <c r="H2741" s="283"/>
      <c r="I2741" s="283"/>
      <c r="J2741" s="42"/>
      <c r="K2741" s="283"/>
      <c r="L2741" s="283"/>
      <c r="M2741" s="283"/>
      <c r="N2741" s="283"/>
      <c r="O2741" s="815"/>
      <c r="P2741" s="164"/>
      <c r="Q2741" s="529">
        <v>570</v>
      </c>
      <c r="R2741" s="529">
        <v>570</v>
      </c>
      <c r="S2741" s="1361"/>
      <c r="T2741" s="1361"/>
      <c r="U2741" s="1361"/>
      <c r="V2741" s="532"/>
      <c r="W2741" s="42"/>
      <c r="X2741" s="16"/>
      <c r="Y2741" s="16"/>
    </row>
    <row r="2742" spans="1:25" s="709" customFormat="1" ht="16.5">
      <c r="A2742" s="741"/>
      <c r="B2742" s="1185" t="s">
        <v>1572</v>
      </c>
      <c r="C2742" s="164"/>
      <c r="D2742" s="444"/>
      <c r="E2742" s="329"/>
      <c r="F2742" s="42"/>
      <c r="G2742" s="42"/>
      <c r="H2742" s="283"/>
      <c r="I2742" s="283"/>
      <c r="J2742" s="42"/>
      <c r="K2742" s="283"/>
      <c r="L2742" s="283"/>
      <c r="M2742" s="283"/>
      <c r="N2742" s="283"/>
      <c r="O2742" s="815"/>
      <c r="P2742" s="164"/>
      <c r="Q2742" s="529">
        <v>570</v>
      </c>
      <c r="R2742" s="529">
        <v>570</v>
      </c>
      <c r="S2742" s="1361"/>
      <c r="T2742" s="1361"/>
      <c r="U2742" s="1361"/>
      <c r="V2742" s="532"/>
      <c r="W2742" s="42"/>
      <c r="X2742" s="16"/>
      <c r="Y2742" s="16"/>
    </row>
    <row r="2743" spans="1:25" s="709" customFormat="1" ht="16.5">
      <c r="A2743" s="741"/>
      <c r="B2743" s="1185" t="s">
        <v>2650</v>
      </c>
      <c r="C2743" s="164"/>
      <c r="D2743" s="444"/>
      <c r="E2743" s="329"/>
      <c r="F2743" s="42"/>
      <c r="G2743" s="42"/>
      <c r="H2743" s="283"/>
      <c r="I2743" s="283"/>
      <c r="J2743" s="42"/>
      <c r="K2743" s="283"/>
      <c r="L2743" s="283"/>
      <c r="M2743" s="283"/>
      <c r="N2743" s="283"/>
      <c r="O2743" s="815"/>
      <c r="P2743" s="164"/>
      <c r="Q2743" s="529">
        <v>570</v>
      </c>
      <c r="R2743" s="529">
        <v>570</v>
      </c>
      <c r="S2743" s="1361"/>
      <c r="T2743" s="1361"/>
      <c r="U2743" s="1361"/>
      <c r="V2743" s="532"/>
      <c r="W2743" s="42"/>
      <c r="X2743" s="16"/>
      <c r="Y2743" s="16"/>
    </row>
    <row r="2744" spans="1:25" s="709" customFormat="1" ht="16.5">
      <c r="A2744" s="741"/>
      <c r="B2744" s="1185" t="s">
        <v>1571</v>
      </c>
      <c r="C2744" s="164"/>
      <c r="D2744" s="444"/>
      <c r="E2744" s="329"/>
      <c r="F2744" s="42"/>
      <c r="G2744" s="42"/>
      <c r="H2744" s="283"/>
      <c r="I2744" s="283"/>
      <c r="J2744" s="42"/>
      <c r="K2744" s="283"/>
      <c r="L2744" s="283"/>
      <c r="M2744" s="283"/>
      <c r="N2744" s="283"/>
      <c r="O2744" s="815"/>
      <c r="P2744" s="164"/>
      <c r="Q2744" s="356">
        <v>570</v>
      </c>
      <c r="R2744" s="356">
        <v>570</v>
      </c>
      <c r="S2744" s="1361"/>
      <c r="T2744" s="1361"/>
      <c r="U2744" s="1361"/>
      <c r="V2744" s="532"/>
      <c r="W2744" s="42"/>
      <c r="X2744" s="16"/>
      <c r="Y2744" s="16"/>
    </row>
    <row r="2745" spans="1:25" s="709" customFormat="1" ht="16.5" hidden="1">
      <c r="A2745" s="741"/>
      <c r="B2745" s="545"/>
      <c r="C2745" s="164"/>
      <c r="D2745" s="444"/>
      <c r="E2745" s="647"/>
      <c r="F2745" s="42"/>
      <c r="G2745" s="42"/>
      <c r="H2745" s="283"/>
      <c r="I2745" s="283"/>
      <c r="J2745" s="42"/>
      <c r="K2745" s="283"/>
      <c r="L2745" s="283"/>
      <c r="M2745" s="283"/>
      <c r="N2745" s="283"/>
      <c r="O2745" s="815"/>
      <c r="P2745" s="164"/>
      <c r="Q2745" s="351"/>
      <c r="R2745" s="351"/>
      <c r="S2745" s="933"/>
      <c r="T2745" s="933"/>
      <c r="U2745" s="933"/>
      <c r="V2745" s="532"/>
      <c r="W2745" s="42"/>
      <c r="X2745" s="16"/>
      <c r="Y2745" s="16"/>
    </row>
    <row r="2746" spans="1:25" s="709" customFormat="1" ht="16.5">
      <c r="A2746" s="741"/>
      <c r="B2746" s="545" t="s">
        <v>2651</v>
      </c>
      <c r="C2746" s="164" t="s">
        <v>2652</v>
      </c>
      <c r="D2746" s="444">
        <v>41191</v>
      </c>
      <c r="E2746" s="647"/>
      <c r="F2746" s="42" t="s">
        <v>2510</v>
      </c>
      <c r="G2746" s="42"/>
      <c r="H2746" s="283"/>
      <c r="I2746" s="283"/>
      <c r="J2746" s="42"/>
      <c r="K2746" s="283">
        <v>250</v>
      </c>
      <c r="L2746" s="283"/>
      <c r="M2746" s="283">
        <f t="shared" ref="M2746:M2758" si="417">SUM(K2746:L2746)</f>
        <v>250</v>
      </c>
      <c r="N2746" s="283"/>
      <c r="O2746" s="815"/>
      <c r="P2746" s="164" t="s">
        <v>103</v>
      </c>
      <c r="Q2746" s="524">
        <v>250</v>
      </c>
      <c r="R2746" s="524">
        <v>250</v>
      </c>
      <c r="S2746" s="894" t="s">
        <v>4655</v>
      </c>
      <c r="T2746" s="933"/>
      <c r="U2746" s="933"/>
      <c r="V2746" s="532"/>
      <c r="W2746" s="42" t="s">
        <v>930</v>
      </c>
      <c r="X2746" s="16">
        <f t="shared" ref="X2746:X2758" si="418">SUM(J2746:L2746)</f>
        <v>250</v>
      </c>
      <c r="Y2746" s="16">
        <f>X2746-M2746</f>
        <v>0</v>
      </c>
    </row>
    <row r="2747" spans="1:25" s="709" customFormat="1" ht="16.5">
      <c r="A2747" s="741"/>
      <c r="B2747" s="545" t="s">
        <v>331</v>
      </c>
      <c r="C2747" s="164" t="s">
        <v>2654</v>
      </c>
      <c r="D2747" s="444">
        <v>41200</v>
      </c>
      <c r="E2747" s="647"/>
      <c r="F2747" s="42" t="s">
        <v>2653</v>
      </c>
      <c r="G2747" s="42"/>
      <c r="H2747" s="283"/>
      <c r="I2747" s="283"/>
      <c r="J2747" s="42"/>
      <c r="K2747" s="283">
        <v>-10000</v>
      </c>
      <c r="L2747" s="283"/>
      <c r="M2747" s="283">
        <f t="shared" si="417"/>
        <v>-10000</v>
      </c>
      <c r="N2747" s="283"/>
      <c r="O2747" s="815"/>
      <c r="P2747" s="164" t="s">
        <v>103</v>
      </c>
      <c r="Q2747" s="524">
        <v>-10000</v>
      </c>
      <c r="R2747" s="524">
        <v>-10000</v>
      </c>
      <c r="S2747" s="933"/>
      <c r="T2747" s="933"/>
      <c r="U2747" s="933"/>
      <c r="V2747" s="532"/>
      <c r="W2747" s="42" t="s">
        <v>930</v>
      </c>
      <c r="X2747" s="16">
        <f t="shared" si="418"/>
        <v>-10000</v>
      </c>
      <c r="Y2747" s="16">
        <f>X2747-M2747</f>
        <v>0</v>
      </c>
    </row>
    <row r="2748" spans="1:25" s="709" customFormat="1" ht="16.5">
      <c r="A2748" s="741"/>
      <c r="B2748" s="545"/>
      <c r="C2748" s="164"/>
      <c r="D2748" s="444"/>
      <c r="E2748" s="647"/>
      <c r="F2748" s="42"/>
      <c r="G2748" s="42"/>
      <c r="H2748" s="283"/>
      <c r="I2748" s="283"/>
      <c r="J2748" s="42"/>
      <c r="K2748" s="283"/>
      <c r="L2748" s="283"/>
      <c r="M2748" s="283"/>
      <c r="N2748" s="283"/>
      <c r="O2748" s="815"/>
      <c r="P2748" s="164"/>
      <c r="Q2748" s="524"/>
      <c r="R2748" s="524"/>
      <c r="S2748" s="933"/>
      <c r="T2748" s="933"/>
      <c r="U2748" s="933"/>
      <c r="V2748" s="532"/>
      <c r="W2748" s="42"/>
      <c r="X2748" s="16"/>
      <c r="Y2748" s="16"/>
    </row>
    <row r="2749" spans="1:25" s="709" customFormat="1" ht="16.5">
      <c r="A2749" s="741"/>
      <c r="B2749" s="545" t="s">
        <v>311</v>
      </c>
      <c r="C2749" s="164" t="s">
        <v>2656</v>
      </c>
      <c r="D2749" s="444">
        <v>41200</v>
      </c>
      <c r="E2749" s="647"/>
      <c r="F2749" s="42" t="s">
        <v>2655</v>
      </c>
      <c r="G2749" s="42"/>
      <c r="H2749" s="283"/>
      <c r="I2749" s="283"/>
      <c r="J2749" s="42"/>
      <c r="K2749" s="283">
        <v>10000</v>
      </c>
      <c r="L2749" s="283"/>
      <c r="M2749" s="283">
        <f>SUM(K2749:L2749)</f>
        <v>10000</v>
      </c>
      <c r="N2749" s="283"/>
      <c r="O2749" s="815"/>
      <c r="P2749" s="164" t="s">
        <v>103</v>
      </c>
      <c r="Q2749" s="547">
        <f>SUM(Q2750:Q2751)</f>
        <v>10000</v>
      </c>
      <c r="R2749" s="547">
        <f>SUM(R2750:R2751)</f>
        <v>10000</v>
      </c>
      <c r="S2749" s="933"/>
      <c r="T2749" s="933"/>
      <c r="U2749" s="933"/>
      <c r="V2749" s="532"/>
      <c r="W2749" s="42" t="s">
        <v>930</v>
      </c>
      <c r="X2749" s="16">
        <f t="shared" ref="X2749" si="419">SUM(J2749:L2749)</f>
        <v>10000</v>
      </c>
      <c r="Y2749" s="16">
        <f>X2749-M2749</f>
        <v>0</v>
      </c>
    </row>
    <row r="2750" spans="1:25" s="709" customFormat="1" ht="16.5">
      <c r="A2750" s="741"/>
      <c r="B2750" s="545" t="s">
        <v>5299</v>
      </c>
      <c r="C2750" s="164"/>
      <c r="D2750" s="444"/>
      <c r="E2750" s="647"/>
      <c r="F2750" s="42"/>
      <c r="G2750" s="42"/>
      <c r="H2750" s="283"/>
      <c r="I2750" s="283"/>
      <c r="J2750" s="42"/>
      <c r="K2750" s="791"/>
      <c r="L2750" s="283"/>
      <c r="M2750" s="283">
        <f>SUM(K2750:L2750)</f>
        <v>0</v>
      </c>
      <c r="N2750" s="283"/>
      <c r="O2750" s="815"/>
      <c r="P2750" s="164"/>
      <c r="Q2750" s="524">
        <v>5000</v>
      </c>
      <c r="R2750" s="524">
        <v>5000</v>
      </c>
      <c r="S2750" s="933" t="s">
        <v>5301</v>
      </c>
      <c r="T2750" s="933"/>
      <c r="U2750" s="933"/>
      <c r="V2750" s="532"/>
      <c r="W2750" s="42"/>
      <c r="X2750" s="16"/>
      <c r="Y2750" s="16"/>
    </row>
    <row r="2751" spans="1:25" s="709" customFormat="1" ht="16.5">
      <c r="A2751" s="741"/>
      <c r="B2751" s="545" t="s">
        <v>5300</v>
      </c>
      <c r="C2751" s="164"/>
      <c r="D2751" s="444"/>
      <c r="E2751" s="647"/>
      <c r="F2751" s="42"/>
      <c r="G2751" s="42"/>
      <c r="H2751" s="283"/>
      <c r="I2751" s="283"/>
      <c r="J2751" s="42"/>
      <c r="K2751" s="791"/>
      <c r="L2751" s="283"/>
      <c r="M2751" s="283">
        <f>SUM(K2751:L2751)</f>
        <v>0</v>
      </c>
      <c r="N2751" s="283"/>
      <c r="O2751" s="815"/>
      <c r="P2751" s="164"/>
      <c r="Q2751" s="524">
        <v>5000</v>
      </c>
      <c r="R2751" s="524">
        <v>5000</v>
      </c>
      <c r="S2751" s="933" t="s">
        <v>5301</v>
      </c>
      <c r="T2751" s="933"/>
      <c r="U2751" s="933"/>
      <c r="V2751" s="532"/>
      <c r="W2751" s="42"/>
      <c r="X2751" s="16"/>
      <c r="Y2751" s="16"/>
    </row>
    <row r="2752" spans="1:25" s="709" customFormat="1" ht="16.5">
      <c r="A2752" s="741"/>
      <c r="B2752" s="545" t="s">
        <v>319</v>
      </c>
      <c r="C2752" s="164" t="s">
        <v>2657</v>
      </c>
      <c r="D2752" s="531">
        <v>41200</v>
      </c>
      <c r="E2752" s="647"/>
      <c r="F2752" s="42" t="s">
        <v>2571</v>
      </c>
      <c r="G2752" s="42"/>
      <c r="H2752" s="283"/>
      <c r="I2752" s="283"/>
      <c r="J2752" s="42"/>
      <c r="K2752" s="283">
        <v>1300</v>
      </c>
      <c r="L2752" s="283"/>
      <c r="M2752" s="283">
        <f t="shared" si="417"/>
        <v>1300</v>
      </c>
      <c r="N2752" s="283"/>
      <c r="O2752" s="815"/>
      <c r="P2752" s="164" t="s">
        <v>103</v>
      </c>
      <c r="Q2752" s="524">
        <v>1300</v>
      </c>
      <c r="R2752" s="524">
        <v>1300</v>
      </c>
      <c r="S2752" s="933"/>
      <c r="T2752" s="933"/>
      <c r="U2752" s="933"/>
      <c r="V2752" s="532"/>
      <c r="W2752" s="42" t="s">
        <v>930</v>
      </c>
      <c r="X2752" s="16">
        <f t="shared" si="418"/>
        <v>1300</v>
      </c>
      <c r="Y2752" s="16">
        <f t="shared" ref="Y2752:Y2758" si="420">X2752-M2752</f>
        <v>0</v>
      </c>
    </row>
    <row r="2753" spans="1:25" s="709" customFormat="1" ht="17.25" customHeight="1">
      <c r="A2753" s="741"/>
      <c r="B2753" s="545" t="s">
        <v>349</v>
      </c>
      <c r="C2753" s="649" t="s">
        <v>2661</v>
      </c>
      <c r="D2753" s="444">
        <v>41236</v>
      </c>
      <c r="E2753" s="647"/>
      <c r="F2753" s="42" t="s">
        <v>2660</v>
      </c>
      <c r="G2753" s="42"/>
      <c r="H2753" s="283"/>
      <c r="I2753" s="283"/>
      <c r="J2753" s="42"/>
      <c r="K2753" s="283">
        <f>23273780/1000</f>
        <v>23273.78</v>
      </c>
      <c r="L2753" s="283"/>
      <c r="M2753" s="283">
        <f t="shared" si="417"/>
        <v>23273.78</v>
      </c>
      <c r="N2753" s="283"/>
      <c r="O2753" s="815"/>
      <c r="P2753" s="164" t="s">
        <v>103</v>
      </c>
      <c r="Q2753" s="524">
        <f>23273780/1000</f>
        <v>23273.78</v>
      </c>
      <c r="R2753" s="524">
        <f>23273780/1000</f>
        <v>23273.78</v>
      </c>
      <c r="S2753" s="1337" t="s">
        <v>6012</v>
      </c>
      <c r="T2753" s="1337"/>
      <c r="U2753" s="1337"/>
      <c r="V2753" s="532"/>
      <c r="W2753" s="42" t="s">
        <v>930</v>
      </c>
      <c r="X2753" s="16">
        <f t="shared" si="418"/>
        <v>23273.78</v>
      </c>
      <c r="Y2753" s="16">
        <f t="shared" si="420"/>
        <v>0</v>
      </c>
    </row>
    <row r="2754" spans="1:25" s="709" customFormat="1" ht="16.5">
      <c r="A2754" s="741"/>
      <c r="B2754" s="545" t="s">
        <v>319</v>
      </c>
      <c r="C2754" s="649" t="s">
        <v>2663</v>
      </c>
      <c r="D2754" s="444">
        <v>41235</v>
      </c>
      <c r="E2754" s="647"/>
      <c r="F2754" s="42" t="s">
        <v>2662</v>
      </c>
      <c r="G2754" s="42"/>
      <c r="H2754" s="283"/>
      <c r="I2754" s="283"/>
      <c r="J2754" s="42"/>
      <c r="K2754" s="283">
        <v>12500</v>
      </c>
      <c r="L2754" s="283"/>
      <c r="M2754" s="283">
        <f t="shared" si="417"/>
        <v>12500</v>
      </c>
      <c r="N2754" s="283"/>
      <c r="O2754" s="815"/>
      <c r="P2754" s="164" t="s">
        <v>103</v>
      </c>
      <c r="Q2754" s="524">
        <v>12500</v>
      </c>
      <c r="R2754" s="524">
        <v>12500</v>
      </c>
      <c r="S2754" s="933"/>
      <c r="T2754" s="933"/>
      <c r="U2754" s="933"/>
      <c r="V2754" s="532"/>
      <c r="W2754" s="42" t="s">
        <v>930</v>
      </c>
      <c r="X2754" s="16">
        <f t="shared" si="418"/>
        <v>12500</v>
      </c>
      <c r="Y2754" s="16">
        <f t="shared" si="420"/>
        <v>0</v>
      </c>
    </row>
    <row r="2755" spans="1:25" s="709" customFormat="1" ht="16.5">
      <c r="A2755" s="741"/>
      <c r="B2755" s="545" t="s">
        <v>380</v>
      </c>
      <c r="C2755" s="649" t="s">
        <v>2665</v>
      </c>
      <c r="D2755" s="444">
        <v>41254</v>
      </c>
      <c r="E2755" s="647"/>
      <c r="F2755" s="42" t="s">
        <v>2664</v>
      </c>
      <c r="G2755" s="42"/>
      <c r="H2755" s="283"/>
      <c r="I2755" s="283"/>
      <c r="J2755" s="42"/>
      <c r="K2755" s="283">
        <v>-10000</v>
      </c>
      <c r="L2755" s="283"/>
      <c r="M2755" s="283">
        <f t="shared" si="417"/>
        <v>-10000</v>
      </c>
      <c r="N2755" s="283"/>
      <c r="O2755" s="815"/>
      <c r="P2755" s="164" t="s">
        <v>103</v>
      </c>
      <c r="Q2755" s="524">
        <v>-10000</v>
      </c>
      <c r="R2755" s="524">
        <v>-10000</v>
      </c>
      <c r="S2755" s="933"/>
      <c r="T2755" s="933"/>
      <c r="U2755" s="933"/>
      <c r="V2755" s="532"/>
      <c r="W2755" s="42" t="s">
        <v>930</v>
      </c>
      <c r="X2755" s="16">
        <f t="shared" si="418"/>
        <v>-10000</v>
      </c>
      <c r="Y2755" s="16">
        <f t="shared" si="420"/>
        <v>0</v>
      </c>
    </row>
    <row r="2756" spans="1:25" s="709" customFormat="1" ht="16.5">
      <c r="A2756" s="741"/>
      <c r="B2756" s="545" t="s">
        <v>311</v>
      </c>
      <c r="C2756" s="649" t="s">
        <v>2667</v>
      </c>
      <c r="D2756" s="444">
        <v>41254</v>
      </c>
      <c r="E2756" s="647"/>
      <c r="F2756" s="42" t="s">
        <v>2666</v>
      </c>
      <c r="G2756" s="42"/>
      <c r="H2756" s="283"/>
      <c r="I2756" s="283"/>
      <c r="J2756" s="42"/>
      <c r="K2756" s="283">
        <v>10000</v>
      </c>
      <c r="L2756" s="283"/>
      <c r="M2756" s="283">
        <f t="shared" si="417"/>
        <v>10000</v>
      </c>
      <c r="N2756" s="283"/>
      <c r="O2756" s="815"/>
      <c r="P2756" s="164" t="s">
        <v>103</v>
      </c>
      <c r="Q2756" s="524">
        <v>10000</v>
      </c>
      <c r="R2756" s="524">
        <v>10000</v>
      </c>
      <c r="S2756" s="933"/>
      <c r="T2756" s="933"/>
      <c r="U2756" s="933"/>
      <c r="V2756" s="532"/>
      <c r="W2756" s="42" t="s">
        <v>930</v>
      </c>
      <c r="X2756" s="16">
        <f t="shared" si="418"/>
        <v>10000</v>
      </c>
      <c r="Y2756" s="16">
        <f t="shared" si="420"/>
        <v>0</v>
      </c>
    </row>
    <row r="2757" spans="1:25" s="709" customFormat="1" ht="16.5">
      <c r="A2757" s="741"/>
      <c r="B2757" s="545"/>
      <c r="C2757" s="649"/>
      <c r="D2757" s="444"/>
      <c r="E2757" s="647"/>
      <c r="F2757" s="42"/>
      <c r="G2757" s="42"/>
      <c r="H2757" s="283"/>
      <c r="I2757" s="283"/>
      <c r="J2757" s="42"/>
      <c r="K2757" s="283"/>
      <c r="L2757" s="283"/>
      <c r="M2757" s="283"/>
      <c r="N2757" s="283"/>
      <c r="O2757" s="815"/>
      <c r="P2757" s="164"/>
      <c r="Q2757" s="524"/>
      <c r="R2757" s="524"/>
      <c r="S2757" s="933"/>
      <c r="T2757" s="933"/>
      <c r="U2757" s="933"/>
      <c r="V2757" s="532"/>
      <c r="W2757" s="42"/>
      <c r="X2757" s="16"/>
      <c r="Y2757" s="16"/>
    </row>
    <row r="2758" spans="1:25" s="709" customFormat="1" ht="16.5">
      <c r="A2758" s="741"/>
      <c r="B2758" s="545" t="s">
        <v>349</v>
      </c>
      <c r="C2758" s="649" t="s">
        <v>2668</v>
      </c>
      <c r="D2758" s="444">
        <v>41263</v>
      </c>
      <c r="E2758" s="647"/>
      <c r="F2758" s="42" t="s">
        <v>2644</v>
      </c>
      <c r="G2758" s="42"/>
      <c r="H2758" s="283"/>
      <c r="I2758" s="283"/>
      <c r="J2758" s="42"/>
      <c r="K2758" s="283">
        <v>10000</v>
      </c>
      <c r="L2758" s="283"/>
      <c r="M2758" s="283">
        <f t="shared" si="417"/>
        <v>10000</v>
      </c>
      <c r="N2758" s="283"/>
      <c r="O2758" s="815"/>
      <c r="P2758" s="164" t="s">
        <v>103</v>
      </c>
      <c r="Q2758" s="541">
        <f>SUM(Q2759:Q2774)</f>
        <v>10000</v>
      </c>
      <c r="R2758" s="541">
        <f>SUM(R2759:R2774)</f>
        <v>10000</v>
      </c>
      <c r="S2758" s="933"/>
      <c r="T2758" s="933"/>
      <c r="U2758" s="933"/>
      <c r="V2758" s="532"/>
      <c r="W2758" s="42" t="s">
        <v>930</v>
      </c>
      <c r="X2758" s="16">
        <f t="shared" si="418"/>
        <v>10000</v>
      </c>
      <c r="Y2758" s="16">
        <f t="shared" si="420"/>
        <v>0</v>
      </c>
    </row>
    <row r="2759" spans="1:25" s="709" customFormat="1" ht="15" customHeight="1">
      <c r="A2759" s="741"/>
      <c r="B2759" s="530" t="s">
        <v>1919</v>
      </c>
      <c r="C2759" s="649"/>
      <c r="D2759" s="444"/>
      <c r="E2759" s="329"/>
      <c r="F2759" s="42"/>
      <c r="G2759" s="42"/>
      <c r="H2759" s="283"/>
      <c r="I2759" s="283"/>
      <c r="J2759" s="42"/>
      <c r="K2759" s="283"/>
      <c r="L2759" s="283"/>
      <c r="M2759" s="283"/>
      <c r="N2759" s="283"/>
      <c r="O2759" s="815"/>
      <c r="P2759" s="164"/>
      <c r="Q2759" s="529">
        <v>1315</v>
      </c>
      <c r="R2759" s="529">
        <v>1315</v>
      </c>
      <c r="S2759" s="1366" t="s">
        <v>2669</v>
      </c>
      <c r="T2759" s="1366"/>
      <c r="U2759" s="1366"/>
      <c r="V2759" s="532"/>
      <c r="W2759" s="42"/>
      <c r="X2759" s="16"/>
      <c r="Y2759" s="16"/>
    </row>
    <row r="2760" spans="1:25" s="709" customFormat="1" ht="16.5">
      <c r="A2760" s="741"/>
      <c r="B2760" s="530" t="s">
        <v>1566</v>
      </c>
      <c r="C2760" s="649"/>
      <c r="D2760" s="444"/>
      <c r="E2760" s="329"/>
      <c r="F2760" s="42"/>
      <c r="G2760" s="42"/>
      <c r="H2760" s="283"/>
      <c r="I2760" s="283"/>
      <c r="J2760" s="42"/>
      <c r="K2760" s="283"/>
      <c r="L2760" s="283"/>
      <c r="M2760" s="283"/>
      <c r="N2760" s="283"/>
      <c r="O2760" s="815"/>
      <c r="P2760" s="164"/>
      <c r="Q2760" s="529">
        <v>300</v>
      </c>
      <c r="R2760" s="529">
        <v>300</v>
      </c>
      <c r="S2760" s="1366"/>
      <c r="T2760" s="1366"/>
      <c r="U2760" s="1366"/>
      <c r="V2760" s="532"/>
      <c r="W2760" s="42"/>
      <c r="X2760" s="16"/>
      <c r="Y2760" s="16"/>
    </row>
    <row r="2761" spans="1:25" s="709" customFormat="1" ht="16.5">
      <c r="A2761" s="741"/>
      <c r="B2761" s="530" t="s">
        <v>2647</v>
      </c>
      <c r="C2761" s="649"/>
      <c r="D2761" s="444"/>
      <c r="E2761" s="329"/>
      <c r="F2761" s="42"/>
      <c r="G2761" s="42"/>
      <c r="H2761" s="283"/>
      <c r="I2761" s="283"/>
      <c r="J2761" s="42"/>
      <c r="K2761" s="283"/>
      <c r="L2761" s="283"/>
      <c r="M2761" s="283"/>
      <c r="N2761" s="283"/>
      <c r="O2761" s="815"/>
      <c r="P2761" s="164"/>
      <c r="Q2761" s="529">
        <v>710</v>
      </c>
      <c r="R2761" s="529">
        <v>710</v>
      </c>
      <c r="S2761" s="1366"/>
      <c r="T2761" s="1366"/>
      <c r="U2761" s="1366"/>
      <c r="V2761" s="532"/>
      <c r="W2761" s="42"/>
      <c r="X2761" s="16"/>
      <c r="Y2761" s="16"/>
    </row>
    <row r="2762" spans="1:25" s="709" customFormat="1" ht="16.5">
      <c r="A2762" s="741"/>
      <c r="B2762" s="530" t="s">
        <v>1577</v>
      </c>
      <c r="C2762" s="649"/>
      <c r="D2762" s="444"/>
      <c r="E2762" s="329"/>
      <c r="F2762" s="42"/>
      <c r="G2762" s="42"/>
      <c r="H2762" s="283"/>
      <c r="I2762" s="283"/>
      <c r="J2762" s="42"/>
      <c r="K2762" s="283"/>
      <c r="L2762" s="283"/>
      <c r="M2762" s="283"/>
      <c r="N2762" s="283"/>
      <c r="O2762" s="815"/>
      <c r="P2762" s="164"/>
      <c r="Q2762" s="529">
        <v>685</v>
      </c>
      <c r="R2762" s="529">
        <v>685</v>
      </c>
      <c r="S2762" s="1366"/>
      <c r="T2762" s="1366"/>
      <c r="U2762" s="1366"/>
      <c r="V2762" s="532"/>
      <c r="W2762" s="42"/>
      <c r="X2762" s="16"/>
      <c r="Y2762" s="16"/>
    </row>
    <row r="2763" spans="1:25" s="709" customFormat="1" ht="16.5">
      <c r="A2763" s="741"/>
      <c r="B2763" s="530" t="s">
        <v>1578</v>
      </c>
      <c r="C2763" s="649"/>
      <c r="D2763" s="444"/>
      <c r="E2763" s="329"/>
      <c r="F2763" s="42"/>
      <c r="G2763" s="42"/>
      <c r="H2763" s="283"/>
      <c r="I2763" s="283"/>
      <c r="J2763" s="42"/>
      <c r="K2763" s="283"/>
      <c r="L2763" s="283"/>
      <c r="M2763" s="283"/>
      <c r="N2763" s="283"/>
      <c r="O2763" s="815"/>
      <c r="P2763" s="164"/>
      <c r="Q2763" s="529">
        <v>710</v>
      </c>
      <c r="R2763" s="529">
        <v>710</v>
      </c>
      <c r="S2763" s="1366"/>
      <c r="T2763" s="1366"/>
      <c r="U2763" s="1366"/>
      <c r="V2763" s="532"/>
      <c r="W2763" s="42"/>
      <c r="X2763" s="16"/>
      <c r="Y2763" s="16"/>
    </row>
    <row r="2764" spans="1:25" s="709" customFormat="1" ht="16.5">
      <c r="A2764" s="741"/>
      <c r="B2764" s="530" t="s">
        <v>1576</v>
      </c>
      <c r="C2764" s="649"/>
      <c r="D2764" s="444"/>
      <c r="E2764" s="329"/>
      <c r="F2764" s="42"/>
      <c r="G2764" s="42"/>
      <c r="H2764" s="283"/>
      <c r="I2764" s="283"/>
      <c r="J2764" s="42"/>
      <c r="K2764" s="283"/>
      <c r="L2764" s="283"/>
      <c r="M2764" s="283"/>
      <c r="N2764" s="283"/>
      <c r="O2764" s="815"/>
      <c r="P2764" s="164"/>
      <c r="Q2764" s="529">
        <v>685</v>
      </c>
      <c r="R2764" s="529">
        <v>685</v>
      </c>
      <c r="S2764" s="1366"/>
      <c r="T2764" s="1366"/>
      <c r="U2764" s="1366"/>
      <c r="V2764" s="532"/>
      <c r="W2764" s="42"/>
      <c r="X2764" s="16"/>
      <c r="Y2764" s="16"/>
    </row>
    <row r="2765" spans="1:25" s="709" customFormat="1" ht="16.5">
      <c r="A2765" s="741"/>
      <c r="B2765" s="530" t="s">
        <v>2648</v>
      </c>
      <c r="C2765" s="649"/>
      <c r="D2765" s="444"/>
      <c r="E2765" s="329"/>
      <c r="F2765" s="42"/>
      <c r="G2765" s="42"/>
      <c r="H2765" s="283"/>
      <c r="I2765" s="283"/>
      <c r="J2765" s="42"/>
      <c r="K2765" s="283"/>
      <c r="L2765" s="283"/>
      <c r="M2765" s="283"/>
      <c r="N2765" s="283"/>
      <c r="O2765" s="815"/>
      <c r="P2765" s="164"/>
      <c r="Q2765" s="529">
        <v>430</v>
      </c>
      <c r="R2765" s="529">
        <v>430</v>
      </c>
      <c r="S2765" s="1366"/>
      <c r="T2765" s="1366"/>
      <c r="U2765" s="1366"/>
      <c r="V2765" s="532"/>
      <c r="W2765" s="42"/>
      <c r="X2765" s="16"/>
      <c r="Y2765" s="16"/>
    </row>
    <row r="2766" spans="1:25" s="709" customFormat="1" ht="16.5">
      <c r="A2766" s="741"/>
      <c r="B2766" s="530" t="s">
        <v>1579</v>
      </c>
      <c r="C2766" s="649"/>
      <c r="D2766" s="444"/>
      <c r="E2766" s="329"/>
      <c r="F2766" s="42"/>
      <c r="G2766" s="42"/>
      <c r="H2766" s="283"/>
      <c r="I2766" s="283"/>
      <c r="J2766" s="42"/>
      <c r="K2766" s="283"/>
      <c r="L2766" s="283"/>
      <c r="M2766" s="283"/>
      <c r="N2766" s="283"/>
      <c r="O2766" s="815"/>
      <c r="P2766" s="164"/>
      <c r="Q2766" s="529">
        <v>430</v>
      </c>
      <c r="R2766" s="529">
        <v>430</v>
      </c>
      <c r="S2766" s="1366"/>
      <c r="T2766" s="1366"/>
      <c r="U2766" s="1366"/>
      <c r="V2766" s="532"/>
      <c r="W2766" s="42"/>
      <c r="X2766" s="16"/>
      <c r="Y2766" s="16"/>
    </row>
    <row r="2767" spans="1:25" s="709" customFormat="1" ht="16.5">
      <c r="A2767" s="741"/>
      <c r="B2767" s="530" t="s">
        <v>1585</v>
      </c>
      <c r="C2767" s="649"/>
      <c r="D2767" s="444"/>
      <c r="E2767" s="329"/>
      <c r="F2767" s="42"/>
      <c r="G2767" s="42"/>
      <c r="H2767" s="283"/>
      <c r="I2767" s="283"/>
      <c r="J2767" s="42"/>
      <c r="K2767" s="283"/>
      <c r="L2767" s="283"/>
      <c r="M2767" s="283"/>
      <c r="N2767" s="283"/>
      <c r="O2767" s="815"/>
      <c r="P2767" s="164"/>
      <c r="Q2767" s="529">
        <v>152</v>
      </c>
      <c r="R2767" s="529">
        <v>152</v>
      </c>
      <c r="S2767" s="1366"/>
      <c r="T2767" s="1366"/>
      <c r="U2767" s="1366"/>
      <c r="V2767" s="532"/>
      <c r="W2767" s="42"/>
      <c r="X2767" s="16"/>
      <c r="Y2767" s="16"/>
    </row>
    <row r="2768" spans="1:25" s="709" customFormat="1" ht="16.5">
      <c r="A2768" s="741"/>
      <c r="B2768" s="530" t="s">
        <v>1584</v>
      </c>
      <c r="C2768" s="649"/>
      <c r="D2768" s="444"/>
      <c r="E2768" s="329"/>
      <c r="F2768" s="42"/>
      <c r="G2768" s="42"/>
      <c r="H2768" s="283"/>
      <c r="I2768" s="283"/>
      <c r="J2768" s="42"/>
      <c r="K2768" s="283"/>
      <c r="L2768" s="283"/>
      <c r="M2768" s="283"/>
      <c r="N2768" s="283"/>
      <c r="O2768" s="815"/>
      <c r="P2768" s="164"/>
      <c r="Q2768" s="529">
        <v>152</v>
      </c>
      <c r="R2768" s="529">
        <v>152</v>
      </c>
      <c r="S2768" s="1366"/>
      <c r="T2768" s="1366"/>
      <c r="U2768" s="1366"/>
      <c r="V2768" s="532"/>
      <c r="W2768" s="42"/>
      <c r="X2768" s="16"/>
      <c r="Y2768" s="16"/>
    </row>
    <row r="2769" spans="1:25" s="709" customFormat="1" ht="16.5">
      <c r="A2769" s="741"/>
      <c r="B2769" s="530" t="s">
        <v>1586</v>
      </c>
      <c r="C2769" s="649"/>
      <c r="D2769" s="444"/>
      <c r="E2769" s="329"/>
      <c r="F2769" s="42"/>
      <c r="G2769" s="42"/>
      <c r="H2769" s="283"/>
      <c r="I2769" s="283"/>
      <c r="J2769" s="42"/>
      <c r="K2769" s="283"/>
      <c r="L2769" s="283"/>
      <c r="M2769" s="283"/>
      <c r="N2769" s="283"/>
      <c r="O2769" s="815"/>
      <c r="P2769" s="164"/>
      <c r="Q2769" s="529">
        <v>108</v>
      </c>
      <c r="R2769" s="529">
        <v>108</v>
      </c>
      <c r="S2769" s="1366"/>
      <c r="T2769" s="1366"/>
      <c r="U2769" s="1366"/>
      <c r="V2769" s="532"/>
      <c r="W2769" s="42"/>
      <c r="X2769" s="16"/>
      <c r="Y2769" s="16"/>
    </row>
    <row r="2770" spans="1:25" s="709" customFormat="1" ht="16.5">
      <c r="A2770" s="741"/>
      <c r="B2770" s="530" t="s">
        <v>2582</v>
      </c>
      <c r="C2770" s="649"/>
      <c r="D2770" s="444"/>
      <c r="E2770" s="329"/>
      <c r="F2770" s="42"/>
      <c r="G2770" s="42"/>
      <c r="H2770" s="283"/>
      <c r="I2770" s="283"/>
      <c r="J2770" s="42"/>
      <c r="K2770" s="283"/>
      <c r="L2770" s="283"/>
      <c r="M2770" s="283"/>
      <c r="N2770" s="283"/>
      <c r="O2770" s="815"/>
      <c r="P2770" s="164"/>
      <c r="Q2770" s="529">
        <v>88</v>
      </c>
      <c r="R2770" s="529">
        <v>88</v>
      </c>
      <c r="S2770" s="1366"/>
      <c r="T2770" s="1366"/>
      <c r="U2770" s="1366"/>
      <c r="V2770" s="532"/>
      <c r="W2770" s="42"/>
      <c r="X2770" s="16"/>
      <c r="Y2770" s="16"/>
    </row>
    <row r="2771" spans="1:25" s="709" customFormat="1" ht="15" customHeight="1">
      <c r="A2771" s="741"/>
      <c r="B2771" s="530" t="s">
        <v>1564</v>
      </c>
      <c r="C2771" s="649"/>
      <c r="D2771" s="444"/>
      <c r="E2771" s="329"/>
      <c r="F2771" s="42"/>
      <c r="G2771" s="42"/>
      <c r="H2771" s="283"/>
      <c r="I2771" s="283"/>
      <c r="J2771" s="42"/>
      <c r="K2771" s="283"/>
      <c r="L2771" s="283"/>
      <c r="M2771" s="283"/>
      <c r="N2771" s="283"/>
      <c r="O2771" s="815"/>
      <c r="P2771" s="164"/>
      <c r="Q2771" s="529">
        <v>1925</v>
      </c>
      <c r="R2771" s="529">
        <v>1925</v>
      </c>
      <c r="S2771" s="1366" t="s">
        <v>2670</v>
      </c>
      <c r="T2771" s="1366"/>
      <c r="U2771" s="1366"/>
      <c r="V2771" s="532"/>
      <c r="W2771" s="42"/>
      <c r="X2771" s="16"/>
      <c r="Y2771" s="16"/>
    </row>
    <row r="2772" spans="1:25" s="709" customFormat="1" ht="16.5">
      <c r="A2772" s="741"/>
      <c r="B2772" s="530" t="s">
        <v>1587</v>
      </c>
      <c r="C2772" s="649"/>
      <c r="D2772" s="444"/>
      <c r="E2772" s="329"/>
      <c r="F2772" s="42"/>
      <c r="G2772" s="42"/>
      <c r="H2772" s="283"/>
      <c r="I2772" s="283"/>
      <c r="J2772" s="42"/>
      <c r="K2772" s="283"/>
      <c r="L2772" s="283"/>
      <c r="M2772" s="283"/>
      <c r="N2772" s="283"/>
      <c r="O2772" s="815"/>
      <c r="P2772" s="164"/>
      <c r="Q2772" s="529">
        <v>385</v>
      </c>
      <c r="R2772" s="529">
        <v>385</v>
      </c>
      <c r="S2772" s="1366"/>
      <c r="T2772" s="1366"/>
      <c r="U2772" s="1366"/>
      <c r="V2772" s="532"/>
      <c r="W2772" s="42"/>
      <c r="X2772" s="16"/>
      <c r="Y2772" s="16"/>
    </row>
    <row r="2773" spans="1:25" s="709" customFormat="1" ht="16.5">
      <c r="A2773" s="741"/>
      <c r="B2773" s="530" t="s">
        <v>1588</v>
      </c>
      <c r="C2773" s="649"/>
      <c r="D2773" s="444"/>
      <c r="E2773" s="329"/>
      <c r="F2773" s="42"/>
      <c r="G2773" s="42"/>
      <c r="H2773" s="283"/>
      <c r="I2773" s="283"/>
      <c r="J2773" s="42"/>
      <c r="K2773" s="283"/>
      <c r="L2773" s="283"/>
      <c r="M2773" s="283"/>
      <c r="N2773" s="283"/>
      <c r="O2773" s="815"/>
      <c r="P2773" s="164"/>
      <c r="Q2773" s="529">
        <v>1540</v>
      </c>
      <c r="R2773" s="529">
        <v>1540</v>
      </c>
      <c r="S2773" s="1366"/>
      <c r="T2773" s="1366"/>
      <c r="U2773" s="1366"/>
      <c r="V2773" s="532"/>
      <c r="W2773" s="42"/>
      <c r="X2773" s="16"/>
      <c r="Y2773" s="16"/>
    </row>
    <row r="2774" spans="1:25" s="709" customFormat="1" ht="16.5">
      <c r="A2774" s="741"/>
      <c r="B2774" s="530" t="s">
        <v>1589</v>
      </c>
      <c r="C2774" s="649"/>
      <c r="D2774" s="444"/>
      <c r="E2774" s="329"/>
      <c r="F2774" s="42"/>
      <c r="G2774" s="42"/>
      <c r="H2774" s="283"/>
      <c r="I2774" s="283"/>
      <c r="J2774" s="42"/>
      <c r="K2774" s="283"/>
      <c r="L2774" s="283"/>
      <c r="M2774" s="283"/>
      <c r="N2774" s="283"/>
      <c r="O2774" s="815"/>
      <c r="P2774" s="164"/>
      <c r="Q2774" s="529">
        <v>385</v>
      </c>
      <c r="R2774" s="529">
        <v>385</v>
      </c>
      <c r="S2774" s="1366"/>
      <c r="T2774" s="1366"/>
      <c r="U2774" s="1366"/>
      <c r="V2774" s="532"/>
      <c r="W2774" s="42"/>
      <c r="X2774" s="16"/>
      <c r="Y2774" s="16"/>
    </row>
    <row r="2775" spans="1:25" s="709" customFormat="1" ht="16.5">
      <c r="A2775" s="741"/>
      <c r="B2775" s="545"/>
      <c r="C2775" s="649"/>
      <c r="D2775" s="444"/>
      <c r="E2775" s="647"/>
      <c r="F2775" s="42"/>
      <c r="G2775" s="42"/>
      <c r="H2775" s="283"/>
      <c r="I2775" s="283"/>
      <c r="J2775" s="42"/>
      <c r="K2775" s="283"/>
      <c r="L2775" s="283"/>
      <c r="M2775" s="283"/>
      <c r="N2775" s="283"/>
      <c r="O2775" s="815"/>
      <c r="P2775" s="164"/>
      <c r="Q2775" s="351"/>
      <c r="R2775" s="351"/>
      <c r="S2775" s="933"/>
      <c r="T2775" s="933"/>
      <c r="U2775" s="933"/>
      <c r="V2775" s="532"/>
      <c r="W2775" s="42"/>
      <c r="X2775" s="16"/>
      <c r="Y2775" s="16"/>
    </row>
    <row r="2776" spans="1:25" s="709" customFormat="1" ht="15" customHeight="1">
      <c r="A2776" s="741"/>
      <c r="B2776" s="545" t="s">
        <v>349</v>
      </c>
      <c r="C2776" s="649" t="s">
        <v>2671</v>
      </c>
      <c r="D2776" s="444">
        <v>41263</v>
      </c>
      <c r="E2776" s="647"/>
      <c r="F2776" s="42" t="s">
        <v>2644</v>
      </c>
      <c r="G2776" s="42"/>
      <c r="H2776" s="283"/>
      <c r="I2776" s="283"/>
      <c r="J2776" s="42"/>
      <c r="K2776" s="283">
        <v>13250</v>
      </c>
      <c r="L2776" s="283"/>
      <c r="M2776" s="283">
        <f t="shared" ref="M2776" si="421">SUM(K2776:L2776)</f>
        <v>13250</v>
      </c>
      <c r="N2776" s="283"/>
      <c r="O2776" s="815"/>
      <c r="P2776" s="164" t="s">
        <v>103</v>
      </c>
      <c r="Q2776" s="541">
        <f>SUM(Q2777:Q2797)</f>
        <v>13250</v>
      </c>
      <c r="R2776" s="541">
        <f>SUM(R2777:R2797)</f>
        <v>13250</v>
      </c>
      <c r="S2776" s="715"/>
      <c r="T2776" s="992"/>
      <c r="U2776" s="992"/>
      <c r="V2776" s="532"/>
      <c r="W2776" s="42" t="s">
        <v>930</v>
      </c>
      <c r="X2776" s="16">
        <f t="shared" ref="X2776" si="422">SUM(J2776:L2776)</f>
        <v>13250</v>
      </c>
      <c r="Y2776" s="16">
        <f>X2776-M2776</f>
        <v>0</v>
      </c>
    </row>
    <row r="2777" spans="1:25" s="709" customFormat="1" ht="105" customHeight="1">
      <c r="A2777" s="741"/>
      <c r="B2777" s="1186" t="s">
        <v>1919</v>
      </c>
      <c r="C2777" s="649"/>
      <c r="D2777" s="444"/>
      <c r="E2777" s="329"/>
      <c r="F2777" s="42"/>
      <c r="G2777" s="42"/>
      <c r="H2777" s="283"/>
      <c r="I2777" s="283"/>
      <c r="J2777" s="42"/>
      <c r="K2777" s="283"/>
      <c r="L2777" s="283"/>
      <c r="M2777" s="283"/>
      <c r="N2777" s="283"/>
      <c r="O2777" s="815"/>
      <c r="P2777" s="164"/>
      <c r="Q2777" s="529">
        <v>2500</v>
      </c>
      <c r="R2777" s="529">
        <v>2500</v>
      </c>
      <c r="S2777" s="1361" t="s">
        <v>2672</v>
      </c>
      <c r="T2777" s="1361"/>
      <c r="U2777" s="1361"/>
      <c r="V2777" s="532"/>
      <c r="W2777" s="42"/>
      <c r="X2777" s="16"/>
      <c r="Y2777" s="16"/>
    </row>
    <row r="2778" spans="1:25" s="709" customFormat="1" ht="16.5">
      <c r="A2778" s="741"/>
      <c r="B2778" s="1186" t="s">
        <v>1566</v>
      </c>
      <c r="C2778" s="649"/>
      <c r="D2778" s="444"/>
      <c r="E2778" s="329"/>
      <c r="F2778" s="42"/>
      <c r="G2778" s="42"/>
      <c r="H2778" s="283"/>
      <c r="I2778" s="283"/>
      <c r="J2778" s="42"/>
      <c r="K2778" s="283"/>
      <c r="L2778" s="283"/>
      <c r="M2778" s="283"/>
      <c r="N2778" s="283"/>
      <c r="O2778" s="815"/>
      <c r="P2778" s="164"/>
      <c r="Q2778" s="529">
        <v>1000</v>
      </c>
      <c r="R2778" s="529">
        <v>1000</v>
      </c>
      <c r="S2778" s="1361"/>
      <c r="T2778" s="1361"/>
      <c r="U2778" s="1361"/>
      <c r="V2778" s="532"/>
      <c r="W2778" s="42"/>
      <c r="X2778" s="16"/>
      <c r="Y2778" s="16"/>
    </row>
    <row r="2779" spans="1:25" s="709" customFormat="1" ht="16.5">
      <c r="A2779" s="741"/>
      <c r="B2779" s="1186" t="s">
        <v>1564</v>
      </c>
      <c r="C2779" s="649"/>
      <c r="D2779" s="444"/>
      <c r="E2779" s="329"/>
      <c r="F2779" s="42"/>
      <c r="G2779" s="42"/>
      <c r="H2779" s="283"/>
      <c r="I2779" s="283"/>
      <c r="J2779" s="42"/>
      <c r="K2779" s="283"/>
      <c r="L2779" s="283"/>
      <c r="M2779" s="283"/>
      <c r="N2779" s="283"/>
      <c r="O2779" s="815"/>
      <c r="P2779" s="164"/>
      <c r="Q2779" s="529">
        <v>3250</v>
      </c>
      <c r="R2779" s="529">
        <v>3250</v>
      </c>
      <c r="S2779" s="1361"/>
      <c r="T2779" s="1361"/>
      <c r="U2779" s="1361"/>
      <c r="V2779" s="532"/>
      <c r="W2779" s="42"/>
      <c r="X2779" s="16"/>
      <c r="Y2779" s="16"/>
    </row>
    <row r="2780" spans="1:25" s="709" customFormat="1" ht="16.5">
      <c r="A2780" s="741"/>
      <c r="B2780" s="1186" t="s">
        <v>2158</v>
      </c>
      <c r="C2780" s="649"/>
      <c r="D2780" s="444"/>
      <c r="E2780" s="329"/>
      <c r="F2780" s="42"/>
      <c r="G2780" s="42"/>
      <c r="H2780" s="283"/>
      <c r="I2780" s="283"/>
      <c r="J2780" s="42"/>
      <c r="K2780" s="283"/>
      <c r="L2780" s="283"/>
      <c r="M2780" s="283"/>
      <c r="N2780" s="283"/>
      <c r="O2780" s="815"/>
      <c r="P2780" s="164"/>
      <c r="Q2780" s="529">
        <v>1000</v>
      </c>
      <c r="R2780" s="529">
        <v>1000</v>
      </c>
      <c r="S2780" s="1361"/>
      <c r="T2780" s="1361"/>
      <c r="U2780" s="1361"/>
      <c r="V2780" s="532"/>
      <c r="W2780" s="42"/>
      <c r="X2780" s="16"/>
      <c r="Y2780" s="16"/>
    </row>
    <row r="2781" spans="1:25" s="709" customFormat="1" ht="16.5">
      <c r="A2781" s="741"/>
      <c r="B2781" s="1186" t="s">
        <v>2647</v>
      </c>
      <c r="C2781" s="649"/>
      <c r="D2781" s="444"/>
      <c r="E2781" s="329"/>
      <c r="F2781" s="42"/>
      <c r="G2781" s="42"/>
      <c r="H2781" s="283"/>
      <c r="I2781" s="283"/>
      <c r="J2781" s="42"/>
      <c r="K2781" s="283"/>
      <c r="L2781" s="283"/>
      <c r="M2781" s="283"/>
      <c r="N2781" s="283"/>
      <c r="O2781" s="815"/>
      <c r="P2781" s="164"/>
      <c r="Q2781" s="529">
        <v>500</v>
      </c>
      <c r="R2781" s="529">
        <v>500</v>
      </c>
      <c r="S2781" s="1361"/>
      <c r="T2781" s="1361"/>
      <c r="U2781" s="1361"/>
      <c r="V2781" s="532"/>
      <c r="W2781" s="42"/>
      <c r="X2781" s="16"/>
      <c r="Y2781" s="16"/>
    </row>
    <row r="2782" spans="1:25" s="709" customFormat="1" ht="16.5">
      <c r="A2782" s="741"/>
      <c r="B2782" s="1186" t="s">
        <v>1577</v>
      </c>
      <c r="C2782" s="649"/>
      <c r="D2782" s="444"/>
      <c r="E2782" s="329"/>
      <c r="F2782" s="42"/>
      <c r="G2782" s="42"/>
      <c r="H2782" s="283"/>
      <c r="I2782" s="283"/>
      <c r="J2782" s="42"/>
      <c r="K2782" s="283"/>
      <c r="L2782" s="283"/>
      <c r="M2782" s="283"/>
      <c r="N2782" s="283"/>
      <c r="O2782" s="815"/>
      <c r="P2782" s="164"/>
      <c r="Q2782" s="529">
        <v>250</v>
      </c>
      <c r="R2782" s="529">
        <v>250</v>
      </c>
      <c r="S2782" s="1361"/>
      <c r="T2782" s="1361"/>
      <c r="U2782" s="1361"/>
      <c r="V2782" s="532"/>
      <c r="W2782" s="42"/>
      <c r="X2782" s="16"/>
      <c r="Y2782" s="16"/>
    </row>
    <row r="2783" spans="1:25" s="709" customFormat="1" ht="16.5">
      <c r="A2783" s="741"/>
      <c r="B2783" s="1186" t="s">
        <v>1578</v>
      </c>
      <c r="C2783" s="649"/>
      <c r="D2783" s="444"/>
      <c r="E2783" s="329"/>
      <c r="F2783" s="42"/>
      <c r="G2783" s="42"/>
      <c r="H2783" s="283"/>
      <c r="I2783" s="283"/>
      <c r="J2783" s="42"/>
      <c r="K2783" s="283"/>
      <c r="L2783" s="283"/>
      <c r="M2783" s="283"/>
      <c r="N2783" s="283"/>
      <c r="O2783" s="815"/>
      <c r="P2783" s="164"/>
      <c r="Q2783" s="529">
        <v>250</v>
      </c>
      <c r="R2783" s="529">
        <v>250</v>
      </c>
      <c r="S2783" s="1361"/>
      <c r="T2783" s="1361"/>
      <c r="U2783" s="1361"/>
      <c r="V2783" s="532"/>
      <c r="W2783" s="42"/>
      <c r="X2783" s="16"/>
      <c r="Y2783" s="16"/>
    </row>
    <row r="2784" spans="1:25" s="709" customFormat="1" ht="16.5">
      <c r="A2784" s="741"/>
      <c r="B2784" s="1186" t="s">
        <v>2648</v>
      </c>
      <c r="C2784" s="649"/>
      <c r="D2784" s="444"/>
      <c r="E2784" s="329"/>
      <c r="F2784" s="42"/>
      <c r="G2784" s="42"/>
      <c r="H2784" s="283"/>
      <c r="I2784" s="283"/>
      <c r="J2784" s="42"/>
      <c r="K2784" s="283"/>
      <c r="L2784" s="283"/>
      <c r="M2784" s="283"/>
      <c r="N2784" s="283"/>
      <c r="O2784" s="815"/>
      <c r="P2784" s="164"/>
      <c r="Q2784" s="529">
        <v>250</v>
      </c>
      <c r="R2784" s="529">
        <v>250</v>
      </c>
      <c r="S2784" s="1361"/>
      <c r="T2784" s="1361"/>
      <c r="U2784" s="1361"/>
      <c r="V2784" s="532"/>
      <c r="W2784" s="42"/>
      <c r="X2784" s="16"/>
      <c r="Y2784" s="16"/>
    </row>
    <row r="2785" spans="1:25" s="709" customFormat="1" ht="16.5">
      <c r="A2785" s="741"/>
      <c r="B2785" s="1186" t="s">
        <v>1579</v>
      </c>
      <c r="C2785" s="649"/>
      <c r="D2785" s="444"/>
      <c r="E2785" s="329"/>
      <c r="F2785" s="42"/>
      <c r="G2785" s="42"/>
      <c r="H2785" s="283"/>
      <c r="I2785" s="283"/>
      <c r="J2785" s="42"/>
      <c r="K2785" s="283"/>
      <c r="L2785" s="283"/>
      <c r="M2785" s="283"/>
      <c r="N2785" s="283"/>
      <c r="O2785" s="815"/>
      <c r="P2785" s="164"/>
      <c r="Q2785" s="529">
        <v>250</v>
      </c>
      <c r="R2785" s="529">
        <v>250</v>
      </c>
      <c r="S2785" s="1361"/>
      <c r="T2785" s="1361"/>
      <c r="U2785" s="1361"/>
      <c r="V2785" s="532"/>
      <c r="W2785" s="42"/>
      <c r="X2785" s="16"/>
      <c r="Y2785" s="16"/>
    </row>
    <row r="2786" spans="1:25" s="709" customFormat="1" ht="16.5">
      <c r="A2786" s="741"/>
      <c r="B2786" s="1186" t="s">
        <v>1584</v>
      </c>
      <c r="C2786" s="649"/>
      <c r="D2786" s="444"/>
      <c r="E2786" s="329"/>
      <c r="F2786" s="42"/>
      <c r="G2786" s="42"/>
      <c r="H2786" s="283"/>
      <c r="I2786" s="283"/>
      <c r="J2786" s="42"/>
      <c r="K2786" s="283"/>
      <c r="L2786" s="283"/>
      <c r="M2786" s="283"/>
      <c r="N2786" s="283"/>
      <c r="O2786" s="815"/>
      <c r="P2786" s="164"/>
      <c r="Q2786" s="529">
        <v>500</v>
      </c>
      <c r="R2786" s="529">
        <v>500</v>
      </c>
      <c r="S2786" s="1361"/>
      <c r="T2786" s="1361"/>
      <c r="U2786" s="1361"/>
      <c r="V2786" s="532"/>
      <c r="W2786" s="42"/>
      <c r="X2786" s="16"/>
      <c r="Y2786" s="16"/>
    </row>
    <row r="2787" spans="1:25" s="709" customFormat="1" ht="16.5">
      <c r="A2787" s="741"/>
      <c r="B2787" s="1186" t="s">
        <v>1586</v>
      </c>
      <c r="C2787" s="649"/>
      <c r="D2787" s="444"/>
      <c r="E2787" s="329"/>
      <c r="F2787" s="42"/>
      <c r="G2787" s="42"/>
      <c r="H2787" s="283"/>
      <c r="I2787" s="283"/>
      <c r="J2787" s="42"/>
      <c r="K2787" s="283"/>
      <c r="L2787" s="283"/>
      <c r="M2787" s="283"/>
      <c r="N2787" s="283"/>
      <c r="O2787" s="815"/>
      <c r="P2787" s="164"/>
      <c r="Q2787" s="529">
        <v>250</v>
      </c>
      <c r="R2787" s="529">
        <v>250</v>
      </c>
      <c r="S2787" s="1361"/>
      <c r="T2787" s="1361"/>
      <c r="U2787" s="1361"/>
      <c r="V2787" s="532"/>
      <c r="W2787" s="42"/>
      <c r="X2787" s="16"/>
      <c r="Y2787" s="16"/>
    </row>
    <row r="2788" spans="1:25" s="709" customFormat="1" ht="16.5">
      <c r="A2788" s="741"/>
      <c r="B2788" s="1186" t="s">
        <v>2582</v>
      </c>
      <c r="C2788" s="649"/>
      <c r="D2788" s="444"/>
      <c r="E2788" s="329"/>
      <c r="F2788" s="42"/>
      <c r="G2788" s="42"/>
      <c r="H2788" s="283"/>
      <c r="I2788" s="283"/>
      <c r="J2788" s="42"/>
      <c r="K2788" s="283"/>
      <c r="L2788" s="283"/>
      <c r="M2788" s="283"/>
      <c r="N2788" s="283"/>
      <c r="O2788" s="815"/>
      <c r="P2788" s="164"/>
      <c r="Q2788" s="529">
        <v>250</v>
      </c>
      <c r="R2788" s="529">
        <v>250</v>
      </c>
      <c r="S2788" s="1361"/>
      <c r="T2788" s="1361"/>
      <c r="U2788" s="1361"/>
      <c r="V2788" s="532"/>
      <c r="W2788" s="42"/>
      <c r="X2788" s="16"/>
      <c r="Y2788" s="16"/>
    </row>
    <row r="2789" spans="1:25" s="709" customFormat="1" ht="16.5">
      <c r="A2789" s="741"/>
      <c r="B2789" s="1186" t="s">
        <v>1587</v>
      </c>
      <c r="C2789" s="649"/>
      <c r="D2789" s="444"/>
      <c r="E2789" s="329"/>
      <c r="F2789" s="42"/>
      <c r="G2789" s="42"/>
      <c r="H2789" s="283"/>
      <c r="I2789" s="283"/>
      <c r="J2789" s="42"/>
      <c r="K2789" s="283"/>
      <c r="L2789" s="283"/>
      <c r="M2789" s="283"/>
      <c r="N2789" s="283"/>
      <c r="O2789" s="815"/>
      <c r="P2789" s="164"/>
      <c r="Q2789" s="529">
        <v>250</v>
      </c>
      <c r="R2789" s="529">
        <v>250</v>
      </c>
      <c r="S2789" s="1361"/>
      <c r="T2789" s="1361"/>
      <c r="U2789" s="1361"/>
      <c r="V2789" s="532"/>
      <c r="W2789" s="42"/>
      <c r="X2789" s="16"/>
      <c r="Y2789" s="16"/>
    </row>
    <row r="2790" spans="1:25" s="709" customFormat="1" ht="16.5">
      <c r="A2790" s="741"/>
      <c r="B2790" s="1186" t="s">
        <v>1588</v>
      </c>
      <c r="C2790" s="649"/>
      <c r="D2790" s="444"/>
      <c r="E2790" s="329"/>
      <c r="F2790" s="42"/>
      <c r="G2790" s="42"/>
      <c r="H2790" s="283"/>
      <c r="I2790" s="283"/>
      <c r="J2790" s="42"/>
      <c r="K2790" s="283"/>
      <c r="L2790" s="283"/>
      <c r="M2790" s="283"/>
      <c r="N2790" s="283"/>
      <c r="O2790" s="815"/>
      <c r="P2790" s="164"/>
      <c r="Q2790" s="529">
        <v>1000</v>
      </c>
      <c r="R2790" s="529">
        <v>1000</v>
      </c>
      <c r="S2790" s="1361"/>
      <c r="T2790" s="1361"/>
      <c r="U2790" s="1361"/>
      <c r="V2790" s="532"/>
      <c r="W2790" s="42"/>
      <c r="X2790" s="16"/>
      <c r="Y2790" s="16"/>
    </row>
    <row r="2791" spans="1:25" s="709" customFormat="1" ht="16.5">
      <c r="A2791" s="741"/>
      <c r="B2791" s="1186" t="s">
        <v>1589</v>
      </c>
      <c r="C2791" s="649"/>
      <c r="D2791" s="444"/>
      <c r="E2791" s="329"/>
      <c r="F2791" s="42"/>
      <c r="G2791" s="42"/>
      <c r="H2791" s="283"/>
      <c r="I2791" s="283"/>
      <c r="J2791" s="42"/>
      <c r="K2791" s="283"/>
      <c r="L2791" s="283"/>
      <c r="M2791" s="283"/>
      <c r="N2791" s="283"/>
      <c r="O2791" s="815"/>
      <c r="P2791" s="164"/>
      <c r="Q2791" s="529">
        <v>250</v>
      </c>
      <c r="R2791" s="529">
        <v>250</v>
      </c>
      <c r="S2791" s="1361"/>
      <c r="T2791" s="1361"/>
      <c r="U2791" s="1361"/>
      <c r="V2791" s="532"/>
      <c r="W2791" s="42"/>
      <c r="X2791" s="16"/>
      <c r="Y2791" s="16"/>
    </row>
    <row r="2792" spans="1:25" s="709" customFormat="1" ht="16.5">
      <c r="A2792" s="741"/>
      <c r="B2792" s="1186" t="s">
        <v>1583</v>
      </c>
      <c r="C2792" s="649"/>
      <c r="D2792" s="444"/>
      <c r="E2792" s="329"/>
      <c r="F2792" s="42"/>
      <c r="G2792" s="42"/>
      <c r="H2792" s="283"/>
      <c r="I2792" s="283"/>
      <c r="J2792" s="42"/>
      <c r="K2792" s="283"/>
      <c r="L2792" s="283"/>
      <c r="M2792" s="283"/>
      <c r="N2792" s="283"/>
      <c r="O2792" s="815"/>
      <c r="P2792" s="164"/>
      <c r="Q2792" s="529">
        <v>250</v>
      </c>
      <c r="R2792" s="529">
        <v>250</v>
      </c>
      <c r="S2792" s="1361"/>
      <c r="T2792" s="1361"/>
      <c r="U2792" s="1361"/>
      <c r="V2792" s="532"/>
      <c r="W2792" s="42"/>
      <c r="X2792" s="16"/>
      <c r="Y2792" s="16"/>
    </row>
    <row r="2793" spans="1:25" s="709" customFormat="1" ht="16.5">
      <c r="A2793" s="741"/>
      <c r="B2793" s="1186" t="s">
        <v>1582</v>
      </c>
      <c r="C2793" s="649"/>
      <c r="D2793" s="444"/>
      <c r="E2793" s="329"/>
      <c r="F2793" s="42"/>
      <c r="G2793" s="42"/>
      <c r="H2793" s="283"/>
      <c r="I2793" s="283"/>
      <c r="J2793" s="42"/>
      <c r="K2793" s="283"/>
      <c r="L2793" s="283"/>
      <c r="M2793" s="283"/>
      <c r="N2793" s="283"/>
      <c r="O2793" s="815"/>
      <c r="P2793" s="164"/>
      <c r="Q2793" s="529">
        <v>250</v>
      </c>
      <c r="R2793" s="529">
        <v>250</v>
      </c>
      <c r="S2793" s="1361"/>
      <c r="T2793" s="1361"/>
      <c r="U2793" s="1361"/>
      <c r="V2793" s="532"/>
      <c r="W2793" s="42"/>
      <c r="X2793" s="16"/>
      <c r="Y2793" s="16"/>
    </row>
    <row r="2794" spans="1:25" s="709" customFormat="1" ht="16.5">
      <c r="A2794" s="741"/>
      <c r="B2794" s="1186" t="s">
        <v>1574</v>
      </c>
      <c r="C2794" s="649"/>
      <c r="D2794" s="444"/>
      <c r="E2794" s="329"/>
      <c r="F2794" s="42"/>
      <c r="G2794" s="42"/>
      <c r="H2794" s="283"/>
      <c r="I2794" s="283"/>
      <c r="J2794" s="42"/>
      <c r="K2794" s="283"/>
      <c r="L2794" s="283"/>
      <c r="M2794" s="283"/>
      <c r="N2794" s="283"/>
      <c r="O2794" s="815"/>
      <c r="P2794" s="164"/>
      <c r="Q2794" s="529">
        <v>250</v>
      </c>
      <c r="R2794" s="529">
        <v>250</v>
      </c>
      <c r="S2794" s="1361"/>
      <c r="T2794" s="1361"/>
      <c r="U2794" s="1361"/>
      <c r="V2794" s="532"/>
      <c r="W2794" s="42"/>
      <c r="X2794" s="16"/>
      <c r="Y2794" s="16"/>
    </row>
    <row r="2795" spans="1:25" s="709" customFormat="1" ht="16.5">
      <c r="A2795" s="741"/>
      <c r="B2795" s="1186" t="s">
        <v>1573</v>
      </c>
      <c r="C2795" s="649"/>
      <c r="D2795" s="444"/>
      <c r="E2795" s="329"/>
      <c r="F2795" s="42"/>
      <c r="G2795" s="42"/>
      <c r="H2795" s="283"/>
      <c r="I2795" s="283"/>
      <c r="J2795" s="42"/>
      <c r="K2795" s="283"/>
      <c r="L2795" s="283"/>
      <c r="M2795" s="283"/>
      <c r="N2795" s="283"/>
      <c r="O2795" s="815"/>
      <c r="P2795" s="164"/>
      <c r="Q2795" s="529">
        <v>250</v>
      </c>
      <c r="R2795" s="529">
        <v>250</v>
      </c>
      <c r="S2795" s="1361"/>
      <c r="T2795" s="1361"/>
      <c r="U2795" s="1361"/>
      <c r="V2795" s="532"/>
      <c r="W2795" s="42"/>
      <c r="X2795" s="16"/>
      <c r="Y2795" s="16"/>
    </row>
    <row r="2796" spans="1:25" s="709" customFormat="1" ht="16.5">
      <c r="A2796" s="741"/>
      <c r="B2796" s="1186" t="s">
        <v>1575</v>
      </c>
      <c r="C2796" s="649"/>
      <c r="D2796" s="444"/>
      <c r="E2796" s="329"/>
      <c r="F2796" s="42"/>
      <c r="G2796" s="42"/>
      <c r="H2796" s="283"/>
      <c r="I2796" s="283"/>
      <c r="J2796" s="42"/>
      <c r="K2796" s="283"/>
      <c r="L2796" s="283"/>
      <c r="M2796" s="283"/>
      <c r="N2796" s="283"/>
      <c r="O2796" s="815"/>
      <c r="P2796" s="164"/>
      <c r="Q2796" s="529">
        <v>250</v>
      </c>
      <c r="R2796" s="529">
        <v>250</v>
      </c>
      <c r="S2796" s="1361"/>
      <c r="T2796" s="1361"/>
      <c r="U2796" s="1361"/>
      <c r="V2796" s="532"/>
      <c r="W2796" s="42"/>
      <c r="X2796" s="16"/>
      <c r="Y2796" s="16"/>
    </row>
    <row r="2797" spans="1:25" s="709" customFormat="1" ht="16.5">
      <c r="A2797" s="741"/>
      <c r="B2797" s="1186" t="s">
        <v>2673</v>
      </c>
      <c r="C2797" s="649"/>
      <c r="D2797" s="444"/>
      <c r="E2797" s="329"/>
      <c r="F2797" s="42"/>
      <c r="G2797" s="42"/>
      <c r="H2797" s="283"/>
      <c r="I2797" s="283"/>
      <c r="J2797" s="42"/>
      <c r="K2797" s="283"/>
      <c r="L2797" s="283"/>
      <c r="M2797" s="283"/>
      <c r="N2797" s="283"/>
      <c r="O2797" s="815"/>
      <c r="P2797" s="164"/>
      <c r="Q2797" s="529">
        <v>250</v>
      </c>
      <c r="R2797" s="529">
        <v>250</v>
      </c>
      <c r="S2797" s="1361"/>
      <c r="T2797" s="1361"/>
      <c r="U2797" s="1361"/>
      <c r="V2797" s="532"/>
      <c r="W2797" s="42"/>
      <c r="X2797" s="16"/>
      <c r="Y2797" s="16"/>
    </row>
    <row r="2798" spans="1:25" s="709" customFormat="1" ht="16.5">
      <c r="A2798" s="741"/>
      <c r="B2798" s="545"/>
      <c r="C2798" s="649"/>
      <c r="D2798" s="444"/>
      <c r="E2798" s="647"/>
      <c r="F2798" s="42"/>
      <c r="G2798" s="42"/>
      <c r="H2798" s="283"/>
      <c r="I2798" s="283"/>
      <c r="J2798" s="42"/>
      <c r="K2798" s="283"/>
      <c r="L2798" s="283"/>
      <c r="M2798" s="283"/>
      <c r="N2798" s="283"/>
      <c r="O2798" s="815"/>
      <c r="P2798" s="164"/>
      <c r="Q2798" s="351"/>
      <c r="R2798" s="351"/>
      <c r="S2798" s="933"/>
      <c r="T2798" s="933"/>
      <c r="U2798" s="933"/>
      <c r="V2798" s="532"/>
      <c r="W2798" s="42"/>
      <c r="X2798" s="16"/>
      <c r="Y2798" s="16"/>
    </row>
    <row r="2799" spans="1:25" s="42" customFormat="1" ht="15">
      <c r="A2799" s="740"/>
      <c r="B2799" s="545" t="s">
        <v>331</v>
      </c>
      <c r="C2799" s="649" t="s">
        <v>2675</v>
      </c>
      <c r="D2799" s="444">
        <v>41257</v>
      </c>
      <c r="E2799" s="647"/>
      <c r="F2799" s="42" t="s">
        <v>2674</v>
      </c>
      <c r="H2799" s="283"/>
      <c r="I2799" s="283"/>
      <c r="K2799" s="283">
        <v>5700</v>
      </c>
      <c r="L2799" s="283"/>
      <c r="M2799" s="283">
        <f t="shared" ref="M2799:M2800" si="423">SUM(K2799:L2799)</f>
        <v>5700</v>
      </c>
      <c r="N2799" s="283"/>
      <c r="O2799" s="164"/>
      <c r="P2799" s="164"/>
      <c r="Q2799" s="524">
        <v>5700</v>
      </c>
      <c r="R2799" s="524">
        <v>5700</v>
      </c>
      <c r="S2799" s="897"/>
      <c r="T2799" s="897"/>
      <c r="U2799" s="897"/>
      <c r="X2799" s="16">
        <f t="shared" ref="X2799" si="424">SUM(J2799:L2799)</f>
        <v>5700</v>
      </c>
      <c r="Y2799" s="16">
        <f>X2799-M2799</f>
        <v>0</v>
      </c>
    </row>
    <row r="2800" spans="1:25" s="739" customFormat="1" ht="15.95" customHeight="1">
      <c r="B2800" s="545" t="s">
        <v>311</v>
      </c>
      <c r="C2800" s="164" t="s">
        <v>2677</v>
      </c>
      <c r="D2800" s="531">
        <v>41039</v>
      </c>
      <c r="E2800" s="647"/>
      <c r="F2800" s="42" t="s">
        <v>2676</v>
      </c>
      <c r="G2800" s="42"/>
      <c r="H2800" s="283"/>
      <c r="I2800" s="283"/>
      <c r="J2800" s="283"/>
      <c r="K2800" s="283">
        <f>-1000+1000</f>
        <v>0</v>
      </c>
      <c r="L2800" s="42"/>
      <c r="M2800" s="283">
        <f t="shared" si="423"/>
        <v>0</v>
      </c>
      <c r="N2800" s="42"/>
      <c r="O2800" s="166"/>
      <c r="P2800" s="1151"/>
      <c r="Q2800" s="216"/>
      <c r="R2800" s="216"/>
      <c r="S2800" s="877"/>
      <c r="T2800" s="877"/>
      <c r="U2800" s="877"/>
      <c r="V2800" s="38"/>
      <c r="X2800" s="16">
        <f t="shared" ref="X2800" si="425">SUM(J2800:L2800)</f>
        <v>0</v>
      </c>
      <c r="Y2800" s="16">
        <f>X2800-M2800</f>
        <v>0</v>
      </c>
    </row>
    <row r="2801" spans="1:25" s="739" customFormat="1" ht="15.95" customHeight="1">
      <c r="B2801" s="545" t="s">
        <v>349</v>
      </c>
      <c r="C2801" s="164" t="s">
        <v>4463</v>
      </c>
      <c r="D2801" s="531">
        <v>41232</v>
      </c>
      <c r="E2801" s="647"/>
      <c r="F2801" s="42" t="s">
        <v>2175</v>
      </c>
      <c r="G2801" s="42"/>
      <c r="H2801" s="283"/>
      <c r="I2801" s="283"/>
      <c r="J2801" s="283"/>
      <c r="K2801" s="283">
        <v>3000</v>
      </c>
      <c r="L2801" s="42"/>
      <c r="M2801" s="283">
        <f t="shared" ref="M2801" si="426">SUM(K2801:L2801)</f>
        <v>3000</v>
      </c>
      <c r="N2801" s="42"/>
      <c r="O2801" s="166"/>
      <c r="P2801" s="1151"/>
      <c r="Q2801" s="216"/>
      <c r="R2801" s="216"/>
      <c r="S2801" s="877"/>
      <c r="T2801" s="877"/>
      <c r="U2801" s="877"/>
      <c r="V2801" s="38"/>
      <c r="X2801" s="16"/>
      <c r="Y2801" s="16"/>
    </row>
    <row r="2802" spans="1:25" s="39" customFormat="1" ht="15.95" customHeight="1">
      <c r="B2802" s="21"/>
      <c r="C2802" s="23"/>
      <c r="D2802" s="380"/>
      <c r="E2802" s="23"/>
      <c r="F2802" s="22"/>
      <c r="G2802" s="22"/>
      <c r="H2802" s="22"/>
      <c r="I2802" s="22"/>
      <c r="J2802" s="22"/>
      <c r="K2802" s="22"/>
      <c r="L2802" s="22"/>
      <c r="M2802" s="22"/>
      <c r="N2802" s="22"/>
      <c r="O2802" s="23"/>
      <c r="P2802" s="165"/>
      <c r="Q2802" s="216"/>
      <c r="R2802" s="216"/>
      <c r="S2802" s="877"/>
      <c r="T2802" s="877"/>
      <c r="U2802" s="877"/>
      <c r="V2802" s="22"/>
      <c r="X2802" s="16"/>
      <c r="Y2802" s="16"/>
    </row>
    <row r="2803" spans="1:25" s="231" customFormat="1" ht="15">
      <c r="A2803" s="237"/>
      <c r="B2803" s="35" t="s">
        <v>71</v>
      </c>
      <c r="C2803" s="166"/>
      <c r="D2803" s="391"/>
      <c r="E2803" s="23"/>
      <c r="F2803" s="38"/>
      <c r="G2803" s="38"/>
      <c r="H2803" s="38"/>
      <c r="I2803" s="38"/>
      <c r="J2803" s="36" t="e">
        <f>J2804+J2813+J2836+J2849+#REF!+J2866+J2870+J1513+J1516+J2875</f>
        <v>#REF!</v>
      </c>
      <c r="K2803" s="36" t="e">
        <f>K2804+K2813+K2836+K2849+#REF!+K2866+K2870+K1513+K1516+K2875</f>
        <v>#REF!</v>
      </c>
      <c r="L2803" s="36" t="e">
        <f>L2804+L2813+L2836+L2849+#REF!+L2866+L2870+L1513+L1516+L2875</f>
        <v>#REF!</v>
      </c>
      <c r="M2803" s="36">
        <f>M2804+M2813+M2836+M2849+M2866+M2870+M2875</f>
        <v>528650</v>
      </c>
      <c r="N2803" s="36" t="e">
        <f>N2804+N2813+N2836+N2849+#REF!+N2866+N2870+N1513+N1516+N2875</f>
        <v>#REF!</v>
      </c>
      <c r="O2803" s="23"/>
      <c r="P2803" s="165"/>
      <c r="Q2803" s="36">
        <f t="shared" ref="Q2803:R2803" si="427">Q2804+Q2813+Q2836+Q2849+Q2866+Q2870+Q2875</f>
        <v>507075</v>
      </c>
      <c r="R2803" s="36">
        <f t="shared" si="427"/>
        <v>506275</v>
      </c>
      <c r="S2803" s="925"/>
      <c r="T2803" s="925"/>
      <c r="U2803" s="925"/>
      <c r="V2803" s="10"/>
      <c r="W2803" s="360"/>
      <c r="X2803" s="16" t="e">
        <f t="shared" ref="X2803:X2834" si="428">SUM(J2803:L2803)</f>
        <v>#REF!</v>
      </c>
      <c r="Y2803" s="16" t="e">
        <f t="shared" ref="Y2803:Y2834" si="429">X2803-M2803</f>
        <v>#REF!</v>
      </c>
    </row>
    <row r="2804" spans="1:25" s="231" customFormat="1" ht="15">
      <c r="A2804" s="237"/>
      <c r="B2804" s="850" t="s">
        <v>427</v>
      </c>
      <c r="C2804" s="1126"/>
      <c r="D2804" s="190"/>
      <c r="E2804" s="1126"/>
      <c r="F2804" s="212"/>
      <c r="G2804" s="347"/>
      <c r="J2804" s="7">
        <f>SUM(J2810:J2811)</f>
        <v>0</v>
      </c>
      <c r="K2804" s="7">
        <f>SUM(K2810:K2811)</f>
        <v>825</v>
      </c>
      <c r="L2804" s="7">
        <f>SUM(L2810:L2811)</f>
        <v>0</v>
      </c>
      <c r="M2804" s="7">
        <f>SUM(M2806:M2811)</f>
        <v>1525</v>
      </c>
      <c r="N2804" s="7">
        <f>SUM(N2810:N2811)</f>
        <v>0</v>
      </c>
      <c r="O2804" s="23"/>
      <c r="P2804" s="1126"/>
      <c r="Q2804" s="7">
        <f t="shared" ref="Q2804:R2804" si="430">SUM(Q2806:Q2811)</f>
        <v>0</v>
      </c>
      <c r="R2804" s="7">
        <f t="shared" si="430"/>
        <v>0</v>
      </c>
      <c r="S2804" s="876"/>
      <c r="T2804" s="876"/>
      <c r="U2804" s="876"/>
      <c r="V2804" s="10"/>
      <c r="W2804" s="360"/>
      <c r="X2804" s="16">
        <f t="shared" si="428"/>
        <v>825</v>
      </c>
      <c r="Y2804" s="16">
        <f t="shared" si="429"/>
        <v>-700</v>
      </c>
    </row>
    <row r="2805" spans="1:25" s="30" customFormat="1" ht="15">
      <c r="A2805" s="112"/>
      <c r="B2805" s="867" t="s">
        <v>2680</v>
      </c>
      <c r="C2805" s="1126"/>
      <c r="D2805" s="190"/>
      <c r="E2805" s="1126"/>
      <c r="F2805" s="212"/>
      <c r="G2805" s="347"/>
      <c r="H2805" s="93">
        <v>111870</v>
      </c>
      <c r="I2805" s="93"/>
      <c r="J2805" s="231"/>
      <c r="K2805" s="231"/>
      <c r="L2805" s="231"/>
      <c r="M2805" s="231"/>
      <c r="N2805" s="6">
        <f>M2804+H2805</f>
        <v>113395</v>
      </c>
      <c r="O2805" s="154"/>
      <c r="P2805" s="1126"/>
      <c r="Q2805" s="243"/>
      <c r="R2805" s="243"/>
      <c r="S2805" s="515"/>
      <c r="T2805" s="515"/>
      <c r="U2805" s="515"/>
      <c r="V2805" s="10" t="s">
        <v>517</v>
      </c>
      <c r="X2805" s="16">
        <f t="shared" si="428"/>
        <v>0</v>
      </c>
      <c r="Y2805" s="16">
        <f t="shared" si="429"/>
        <v>0</v>
      </c>
    </row>
    <row r="2806" spans="1:25" s="231" customFormat="1" ht="75">
      <c r="A2806" s="237"/>
      <c r="B2806" s="548" t="s">
        <v>546</v>
      </c>
      <c r="C2806" s="372" t="s">
        <v>547</v>
      </c>
      <c r="D2806" s="361">
        <v>40890</v>
      </c>
      <c r="E2806" s="779" t="s">
        <v>4992</v>
      </c>
      <c r="F2806" s="371" t="s">
        <v>5668</v>
      </c>
      <c r="G2806" s="212"/>
      <c r="H2806" s="93"/>
      <c r="I2806" s="93"/>
      <c r="J2806" s="6"/>
      <c r="K2806" s="10">
        <v>300</v>
      </c>
      <c r="L2806" s="6"/>
      <c r="M2806" s="14">
        <f>SUM(J2806:L2806)</f>
        <v>300</v>
      </c>
      <c r="N2806" s="6"/>
      <c r="O2806" s="117"/>
      <c r="P2806" s="1137" t="s">
        <v>102</v>
      </c>
      <c r="Q2806" s="93"/>
      <c r="R2806" s="93"/>
      <c r="S2806" s="876">
        <v>50</v>
      </c>
      <c r="T2806" s="876"/>
      <c r="U2806" s="876"/>
      <c r="V2806" s="358" t="s">
        <v>517</v>
      </c>
      <c r="W2806" s="31" t="s">
        <v>545</v>
      </c>
      <c r="X2806" s="16">
        <f>SUM(J2806:L2806)</f>
        <v>300</v>
      </c>
      <c r="Y2806" s="16">
        <f t="shared" si="429"/>
        <v>0</v>
      </c>
    </row>
    <row r="2807" spans="1:25" s="231" customFormat="1" ht="75">
      <c r="A2807" s="237"/>
      <c r="B2807" s="548" t="s">
        <v>546</v>
      </c>
      <c r="C2807" s="372" t="s">
        <v>548</v>
      </c>
      <c r="D2807" s="373">
        <v>40849</v>
      </c>
      <c r="E2807" s="779" t="s">
        <v>4992</v>
      </c>
      <c r="F2807" s="371" t="s">
        <v>5668</v>
      </c>
      <c r="G2807" s="212"/>
      <c r="H2807" s="93"/>
      <c r="I2807" s="93"/>
      <c r="J2807" s="6"/>
      <c r="K2807" s="10">
        <v>200</v>
      </c>
      <c r="L2807" s="6"/>
      <c r="M2807" s="14">
        <f>SUM(J2807:L2807)</f>
        <v>200</v>
      </c>
      <c r="N2807" s="6"/>
      <c r="O2807" s="117"/>
      <c r="P2807" s="1137" t="s">
        <v>102</v>
      </c>
      <c r="Q2807" s="93"/>
      <c r="R2807" s="93"/>
      <c r="S2807" s="876">
        <v>96</v>
      </c>
      <c r="T2807" s="876"/>
      <c r="U2807" s="876"/>
      <c r="V2807" s="358" t="s">
        <v>517</v>
      </c>
      <c r="W2807" s="31" t="s">
        <v>545</v>
      </c>
      <c r="X2807" s="16">
        <f>SUM(J2807:L2807)</f>
        <v>200</v>
      </c>
      <c r="Y2807" s="16">
        <f t="shared" si="429"/>
        <v>0</v>
      </c>
    </row>
    <row r="2808" spans="1:25" s="231" customFormat="1" ht="75">
      <c r="A2808" s="237"/>
      <c r="B2808" s="548" t="s">
        <v>546</v>
      </c>
      <c r="C2808" s="372" t="s">
        <v>549</v>
      </c>
      <c r="D2808" s="373">
        <v>40857</v>
      </c>
      <c r="E2808" s="779" t="s">
        <v>622</v>
      </c>
      <c r="F2808" s="371" t="s">
        <v>5668</v>
      </c>
      <c r="G2808" s="212"/>
      <c r="H2808" s="93"/>
      <c r="I2808" s="93"/>
      <c r="J2808" s="6"/>
      <c r="K2808" s="10">
        <v>100</v>
      </c>
      <c r="L2808" s="6"/>
      <c r="M2808" s="14">
        <f>SUM(J2808:L2808)</f>
        <v>100</v>
      </c>
      <c r="N2808" s="6"/>
      <c r="O2808" s="117"/>
      <c r="P2808" s="1137" t="s">
        <v>102</v>
      </c>
      <c r="Q2808" s="93"/>
      <c r="R2808" s="93"/>
      <c r="S2808" s="1343" t="s">
        <v>507</v>
      </c>
      <c r="T2808" s="1343"/>
      <c r="U2808" s="1343"/>
      <c r="V2808" s="358" t="s">
        <v>517</v>
      </c>
      <c r="W2808" s="31" t="s">
        <v>545</v>
      </c>
      <c r="X2808" s="16">
        <f>SUM(J2808:L2808)</f>
        <v>100</v>
      </c>
      <c r="Y2808" s="16">
        <f t="shared" si="429"/>
        <v>0</v>
      </c>
    </row>
    <row r="2809" spans="1:25" s="374" customFormat="1" ht="75">
      <c r="A2809" s="24"/>
      <c r="B2809" s="548" t="s">
        <v>546</v>
      </c>
      <c r="C2809" s="372" t="s">
        <v>550</v>
      </c>
      <c r="D2809" s="373">
        <v>40899</v>
      </c>
      <c r="E2809" s="779" t="s">
        <v>4992</v>
      </c>
      <c r="F2809" s="371" t="s">
        <v>5668</v>
      </c>
      <c r="G2809" s="212"/>
      <c r="H2809" s="93"/>
      <c r="I2809" s="93"/>
      <c r="J2809" s="6"/>
      <c r="K2809" s="10">
        <v>100</v>
      </c>
      <c r="L2809" s="6"/>
      <c r="M2809" s="14">
        <f>SUM(J2809:L2809)</f>
        <v>100</v>
      </c>
      <c r="N2809" s="6"/>
      <c r="O2809" s="117"/>
      <c r="P2809" s="1137" t="s">
        <v>102</v>
      </c>
      <c r="Q2809" s="93"/>
      <c r="R2809" s="93"/>
      <c r="S2809" s="876">
        <v>90</v>
      </c>
      <c r="T2809" s="876"/>
      <c r="U2809" s="876"/>
      <c r="V2809" s="358" t="s">
        <v>517</v>
      </c>
      <c r="W2809" s="31" t="s">
        <v>545</v>
      </c>
      <c r="X2809" s="16">
        <f>SUM(J2809:L2809)</f>
        <v>100</v>
      </c>
      <c r="Y2809" s="16">
        <f t="shared" si="429"/>
        <v>0</v>
      </c>
    </row>
    <row r="2810" spans="1:25" s="30" customFormat="1" ht="75">
      <c r="A2810" s="112"/>
      <c r="B2810" s="1101" t="s">
        <v>2681</v>
      </c>
      <c r="C2810" s="77" t="s">
        <v>2682</v>
      </c>
      <c r="D2810" s="78">
        <v>40939</v>
      </c>
      <c r="E2810" s="182" t="s">
        <v>4992</v>
      </c>
      <c r="F2810" s="1103" t="s">
        <v>5668</v>
      </c>
      <c r="G2810" s="1103"/>
      <c r="H2810" s="105"/>
      <c r="I2810" s="105"/>
      <c r="J2810" s="79"/>
      <c r="K2810" s="74">
        <v>500</v>
      </c>
      <c r="L2810" s="74"/>
      <c r="M2810" s="74">
        <f>SUM(K2810:L2810)</f>
        <v>500</v>
      </c>
      <c r="N2810" s="74"/>
      <c r="O2810" s="154"/>
      <c r="P2810" s="1137" t="s">
        <v>102</v>
      </c>
      <c r="Q2810" s="243"/>
      <c r="R2810" s="243"/>
      <c r="S2810" s="515">
        <v>285</v>
      </c>
      <c r="T2810" s="515"/>
      <c r="U2810" s="515"/>
      <c r="V2810" s="10" t="s">
        <v>517</v>
      </c>
      <c r="W2810" s="31" t="s">
        <v>545</v>
      </c>
      <c r="X2810" s="16">
        <f t="shared" si="428"/>
        <v>500</v>
      </c>
      <c r="Y2810" s="16">
        <f t="shared" si="429"/>
        <v>0</v>
      </c>
    </row>
    <row r="2811" spans="1:25" s="30" customFormat="1" ht="75">
      <c r="A2811" s="112"/>
      <c r="B2811" s="1101" t="s">
        <v>2683</v>
      </c>
      <c r="C2811" s="77" t="s">
        <v>2684</v>
      </c>
      <c r="D2811" s="78">
        <v>41016</v>
      </c>
      <c r="E2811" s="182" t="s">
        <v>4992</v>
      </c>
      <c r="F2811" s="1103" t="s">
        <v>5668</v>
      </c>
      <c r="G2811" s="1103"/>
      <c r="H2811" s="105"/>
      <c r="I2811" s="105"/>
      <c r="J2811" s="79"/>
      <c r="K2811" s="74">
        <v>325</v>
      </c>
      <c r="L2811" s="74"/>
      <c r="M2811" s="74">
        <f>SUM(K2811:L2811)</f>
        <v>325</v>
      </c>
      <c r="N2811" s="74"/>
      <c r="O2811" s="154"/>
      <c r="P2811" s="1137" t="s">
        <v>102</v>
      </c>
      <c r="Q2811" s="243"/>
      <c r="R2811" s="243"/>
      <c r="S2811" s="515">
        <v>300</v>
      </c>
      <c r="T2811" s="515"/>
      <c r="U2811" s="515"/>
      <c r="V2811" s="10"/>
      <c r="W2811" s="31" t="s">
        <v>545</v>
      </c>
      <c r="X2811" s="16">
        <f t="shared" si="428"/>
        <v>325</v>
      </c>
      <c r="Y2811" s="16">
        <f t="shared" si="429"/>
        <v>0</v>
      </c>
    </row>
    <row r="2812" spans="1:25" s="39" customFormat="1" ht="15.95" customHeight="1">
      <c r="B2812" s="1101"/>
      <c r="C2812" s="77"/>
      <c r="D2812" s="78"/>
      <c r="E2812" s="182"/>
      <c r="F2812" s="1103"/>
      <c r="G2812" s="1103"/>
      <c r="H2812" s="105"/>
      <c r="I2812" s="105"/>
      <c r="J2812" s="79"/>
      <c r="K2812" s="74"/>
      <c r="L2812" s="74"/>
      <c r="M2812" s="74"/>
      <c r="N2812" s="74"/>
      <c r="O2812" s="23"/>
      <c r="P2812" s="32"/>
      <c r="Q2812" s="216"/>
      <c r="R2812" s="216"/>
      <c r="S2812" s="877"/>
      <c r="T2812" s="877"/>
      <c r="U2812" s="877"/>
      <c r="V2812" s="22"/>
      <c r="X2812" s="16">
        <f t="shared" si="428"/>
        <v>0</v>
      </c>
      <c r="Y2812" s="16">
        <f t="shared" si="429"/>
        <v>0</v>
      </c>
    </row>
    <row r="2813" spans="1:25" s="16" customFormat="1" ht="15">
      <c r="A2813" s="236"/>
      <c r="B2813" s="551" t="s">
        <v>2685</v>
      </c>
      <c r="C2813" s="108"/>
      <c r="D2813" s="527"/>
      <c r="E2813" s="1126"/>
      <c r="F2813" s="12"/>
      <c r="G2813" s="101"/>
      <c r="H2813" s="93"/>
      <c r="I2813" s="93"/>
      <c r="J2813" s="7">
        <f>SUM(J2815:J2834)</f>
        <v>0</v>
      </c>
      <c r="K2813" s="7">
        <f>SUM(K2815:K2834)</f>
        <v>23725</v>
      </c>
      <c r="L2813" s="7">
        <f t="shared" ref="L2813:N2813" si="431">SUM(L2815:L2834)</f>
        <v>0</v>
      </c>
      <c r="M2813" s="7">
        <f t="shared" si="431"/>
        <v>23725</v>
      </c>
      <c r="N2813" s="7">
        <f t="shared" si="431"/>
        <v>0</v>
      </c>
      <c r="O2813" s="23"/>
      <c r="P2813" s="165"/>
      <c r="Q2813" s="7">
        <f t="shared" ref="Q2813:R2813" si="432">SUM(Q2815:Q2834)</f>
        <v>23075</v>
      </c>
      <c r="R2813" s="7">
        <f t="shared" si="432"/>
        <v>23075</v>
      </c>
      <c r="S2813" s="935"/>
      <c r="T2813" s="935"/>
      <c r="U2813" s="935"/>
      <c r="V2813" s="10"/>
      <c r="W2813" s="14"/>
      <c r="X2813" s="16">
        <f t="shared" si="428"/>
        <v>23725</v>
      </c>
      <c r="Y2813" s="16">
        <f t="shared" si="429"/>
        <v>0</v>
      </c>
    </row>
    <row r="2814" spans="1:25" s="9" customFormat="1" ht="15">
      <c r="A2814" s="697"/>
      <c r="B2814" s="868" t="s">
        <v>2680</v>
      </c>
      <c r="C2814" s="1126"/>
      <c r="D2814" s="190"/>
      <c r="E2814" s="1137"/>
      <c r="F2814" s="212"/>
      <c r="G2814" s="347"/>
      <c r="H2814" s="93">
        <v>112800</v>
      </c>
      <c r="I2814" s="93"/>
      <c r="J2814" s="16"/>
      <c r="K2814" s="16"/>
      <c r="L2814" s="16"/>
      <c r="M2814" s="16"/>
      <c r="N2814" s="99">
        <f>M2813+H2814</f>
        <v>136525</v>
      </c>
      <c r="O2814" s="23"/>
      <c r="P2814" s="1137"/>
      <c r="Q2814" s="93"/>
      <c r="R2814" s="93"/>
      <c r="S2814" s="876"/>
      <c r="T2814" s="876"/>
      <c r="U2814" s="876"/>
      <c r="V2814" s="10" t="s">
        <v>517</v>
      </c>
      <c r="X2814" s="16">
        <f t="shared" si="428"/>
        <v>0</v>
      </c>
      <c r="Y2814" s="16">
        <f t="shared" si="429"/>
        <v>0</v>
      </c>
    </row>
    <row r="2815" spans="1:25" s="16" customFormat="1" ht="75">
      <c r="A2815" s="236"/>
      <c r="B2815" s="358" t="s">
        <v>546</v>
      </c>
      <c r="C2815" s="372" t="s">
        <v>2687</v>
      </c>
      <c r="D2815" s="361">
        <v>40891</v>
      </c>
      <c r="E2815" s="1126" t="s">
        <v>4992</v>
      </c>
      <c r="F2815" s="371" t="s">
        <v>5669</v>
      </c>
      <c r="G2815" s="360"/>
      <c r="H2815" s="93"/>
      <c r="I2815" s="93"/>
      <c r="J2815" s="6"/>
      <c r="K2815" s="10">
        <v>100</v>
      </c>
      <c r="L2815" s="6"/>
      <c r="M2815" s="14">
        <f t="shared" ref="M2815:M2827" si="433">SUM(J2815:L2815)</f>
        <v>100</v>
      </c>
      <c r="N2815" s="6"/>
      <c r="O2815" s="117"/>
      <c r="P2815" s="1137" t="s">
        <v>102</v>
      </c>
      <c r="Q2815" s="6">
        <v>100</v>
      </c>
      <c r="R2815" s="6">
        <v>100</v>
      </c>
      <c r="S2815" s="876" t="s">
        <v>2688</v>
      </c>
      <c r="T2815" s="876"/>
      <c r="U2815" s="876"/>
      <c r="V2815" s="10" t="s">
        <v>517</v>
      </c>
      <c r="W2815" s="12" t="s">
        <v>2686</v>
      </c>
      <c r="X2815" s="16">
        <f t="shared" si="428"/>
        <v>100</v>
      </c>
      <c r="Y2815" s="16">
        <f t="shared" si="429"/>
        <v>0</v>
      </c>
    </row>
    <row r="2816" spans="1:25" s="231" customFormat="1" ht="75">
      <c r="A2816" s="237"/>
      <c r="B2816" s="358" t="s">
        <v>546</v>
      </c>
      <c r="C2816" s="1126" t="s">
        <v>4526</v>
      </c>
      <c r="D2816" s="361">
        <v>40891</v>
      </c>
      <c r="E2816" s="1126" t="s">
        <v>4992</v>
      </c>
      <c r="F2816" s="212" t="s">
        <v>5669</v>
      </c>
      <c r="G2816" s="360"/>
      <c r="H2816" s="93"/>
      <c r="I2816" s="93"/>
      <c r="J2816" s="6"/>
      <c r="K2816" s="10">
        <v>2000</v>
      </c>
      <c r="L2816" s="6"/>
      <c r="M2816" s="14">
        <f t="shared" si="433"/>
        <v>2000</v>
      </c>
      <c r="N2816" s="6"/>
      <c r="O2816" s="117"/>
      <c r="P2816" s="1137" t="s">
        <v>102</v>
      </c>
      <c r="Q2816" s="93">
        <v>2000</v>
      </c>
      <c r="R2816" s="93">
        <v>2000</v>
      </c>
      <c r="S2816" s="1325" t="s">
        <v>6082</v>
      </c>
      <c r="T2816" s="1325"/>
      <c r="U2816" s="1325"/>
      <c r="V2816" s="10" t="s">
        <v>517</v>
      </c>
      <c r="W2816" s="12" t="s">
        <v>2686</v>
      </c>
      <c r="X2816" s="16">
        <f t="shared" si="428"/>
        <v>2000</v>
      </c>
      <c r="Y2816" s="16">
        <f t="shared" si="429"/>
        <v>0</v>
      </c>
    </row>
    <row r="2817" spans="1:28" s="119" customFormat="1" ht="75">
      <c r="A2817" s="739"/>
      <c r="B2817" s="358" t="s">
        <v>546</v>
      </c>
      <c r="C2817" s="372" t="s">
        <v>2690</v>
      </c>
      <c r="D2817" s="373">
        <v>40899</v>
      </c>
      <c r="E2817" s="1126" t="s">
        <v>4992</v>
      </c>
      <c r="F2817" s="371" t="s">
        <v>5669</v>
      </c>
      <c r="G2817" s="360"/>
      <c r="H2817" s="93"/>
      <c r="I2817" s="93"/>
      <c r="J2817" s="6"/>
      <c r="K2817" s="10">
        <v>700</v>
      </c>
      <c r="L2817" s="6"/>
      <c r="M2817" s="14">
        <f t="shared" si="433"/>
        <v>700</v>
      </c>
      <c r="N2817" s="6"/>
      <c r="O2817" s="117"/>
      <c r="P2817" s="1137" t="s">
        <v>102</v>
      </c>
      <c r="Q2817" s="93">
        <v>700</v>
      </c>
      <c r="R2817" s="93">
        <v>700</v>
      </c>
      <c r="S2817" s="876" t="s">
        <v>2691</v>
      </c>
      <c r="T2817" s="876"/>
      <c r="U2817" s="876"/>
      <c r="V2817" s="10" t="s">
        <v>517</v>
      </c>
      <c r="W2817" s="12" t="s">
        <v>2686</v>
      </c>
      <c r="X2817" s="16">
        <f t="shared" si="428"/>
        <v>700</v>
      </c>
      <c r="Y2817" s="16">
        <f t="shared" si="429"/>
        <v>0</v>
      </c>
    </row>
    <row r="2818" spans="1:28" s="16" customFormat="1" ht="75">
      <c r="A2818" s="236"/>
      <c r="B2818" s="358" t="s">
        <v>546</v>
      </c>
      <c r="C2818" s="372" t="s">
        <v>2692</v>
      </c>
      <c r="D2818" s="373">
        <v>40899</v>
      </c>
      <c r="E2818" s="1126" t="s">
        <v>4992</v>
      </c>
      <c r="F2818" s="371" t="s">
        <v>5669</v>
      </c>
      <c r="G2818" s="360"/>
      <c r="H2818" s="93"/>
      <c r="I2818" s="93"/>
      <c r="J2818" s="6"/>
      <c r="K2818" s="10">
        <v>1500</v>
      </c>
      <c r="L2818" s="6"/>
      <c r="M2818" s="14">
        <f t="shared" si="433"/>
        <v>1500</v>
      </c>
      <c r="N2818" s="6"/>
      <c r="O2818" s="117"/>
      <c r="P2818" s="1137" t="s">
        <v>102</v>
      </c>
      <c r="Q2818" s="93">
        <v>1500</v>
      </c>
      <c r="R2818" s="93">
        <v>1500</v>
      </c>
      <c r="S2818" s="876" t="s">
        <v>2693</v>
      </c>
      <c r="T2818" s="876"/>
      <c r="U2818" s="876"/>
      <c r="V2818" s="10" t="s">
        <v>517</v>
      </c>
      <c r="W2818" s="12" t="s">
        <v>2686</v>
      </c>
      <c r="X2818" s="16">
        <f t="shared" si="428"/>
        <v>1500</v>
      </c>
      <c r="Y2818" s="16">
        <f t="shared" si="429"/>
        <v>0</v>
      </c>
    </row>
    <row r="2819" spans="1:28" s="119" customFormat="1" ht="75">
      <c r="A2819" s="739"/>
      <c r="B2819" s="358" t="s">
        <v>546</v>
      </c>
      <c r="C2819" s="1126" t="s">
        <v>2694</v>
      </c>
      <c r="D2819" s="361">
        <v>40899</v>
      </c>
      <c r="E2819" s="1126" t="s">
        <v>4992</v>
      </c>
      <c r="F2819" s="371" t="s">
        <v>5669</v>
      </c>
      <c r="G2819" s="360"/>
      <c r="H2819" s="93"/>
      <c r="I2819" s="93"/>
      <c r="J2819" s="6"/>
      <c r="K2819" s="10">
        <v>250</v>
      </c>
      <c r="L2819" s="6"/>
      <c r="M2819" s="14">
        <f t="shared" si="433"/>
        <v>250</v>
      </c>
      <c r="N2819" s="6"/>
      <c r="O2819" s="117"/>
      <c r="P2819" s="1137" t="s">
        <v>102</v>
      </c>
      <c r="Q2819" s="93">
        <v>250</v>
      </c>
      <c r="R2819" s="93">
        <v>250</v>
      </c>
      <c r="S2819" s="876" t="s">
        <v>2695</v>
      </c>
      <c r="T2819" s="876"/>
      <c r="U2819" s="876"/>
      <c r="V2819" s="10" t="s">
        <v>517</v>
      </c>
      <c r="W2819" s="12" t="s">
        <v>2686</v>
      </c>
      <c r="X2819" s="16">
        <f t="shared" si="428"/>
        <v>250</v>
      </c>
      <c r="Y2819" s="16">
        <f t="shared" si="429"/>
        <v>0</v>
      </c>
      <c r="Z2819" s="353"/>
      <c r="AA2819" s="353"/>
    </row>
    <row r="2820" spans="1:28" s="64" customFormat="1" ht="75">
      <c r="B2820" s="358" t="s">
        <v>546</v>
      </c>
      <c r="C2820" s="1126" t="s">
        <v>2689</v>
      </c>
      <c r="D2820" s="361">
        <v>40883</v>
      </c>
      <c r="E2820" s="1126" t="s">
        <v>4992</v>
      </c>
      <c r="F2820" s="212" t="s">
        <v>5669</v>
      </c>
      <c r="G2820" s="360"/>
      <c r="H2820" s="93"/>
      <c r="I2820" s="93"/>
      <c r="J2820" s="6"/>
      <c r="K2820" s="10">
        <v>5000</v>
      </c>
      <c r="L2820" s="6"/>
      <c r="M2820" s="14">
        <f t="shared" si="433"/>
        <v>5000</v>
      </c>
      <c r="N2820" s="6"/>
      <c r="O2820" s="117"/>
      <c r="P2820" s="1137" t="s">
        <v>102</v>
      </c>
      <c r="Q2820" s="93">
        <v>5000</v>
      </c>
      <c r="R2820" s="93">
        <v>5000</v>
      </c>
      <c r="S2820" s="1384" t="s">
        <v>6082</v>
      </c>
      <c r="T2820" s="1384"/>
      <c r="U2820" s="1384"/>
      <c r="V2820" s="10" t="s">
        <v>517</v>
      </c>
      <c r="W2820" s="12" t="s">
        <v>2686</v>
      </c>
      <c r="X2820" s="16">
        <f t="shared" si="428"/>
        <v>5000</v>
      </c>
      <c r="Y2820" s="16">
        <f t="shared" si="429"/>
        <v>0</v>
      </c>
      <c r="Z2820" s="203"/>
      <c r="AA2820" s="244"/>
      <c r="AB2820" s="233"/>
    </row>
    <row r="2821" spans="1:28" s="64" customFormat="1" ht="75">
      <c r="B2821" s="358" t="s">
        <v>546</v>
      </c>
      <c r="C2821" s="1126" t="s">
        <v>2696</v>
      </c>
      <c r="D2821" s="361">
        <v>40883</v>
      </c>
      <c r="E2821" s="1126" t="s">
        <v>4992</v>
      </c>
      <c r="F2821" s="212" t="s">
        <v>5669</v>
      </c>
      <c r="G2821" s="360"/>
      <c r="H2821" s="93"/>
      <c r="I2821" s="93"/>
      <c r="J2821" s="6"/>
      <c r="K2821" s="10">
        <v>5000</v>
      </c>
      <c r="L2821" s="6"/>
      <c r="M2821" s="14">
        <f t="shared" si="433"/>
        <v>5000</v>
      </c>
      <c r="N2821" s="6"/>
      <c r="O2821" s="117"/>
      <c r="P2821" s="1137" t="s">
        <v>102</v>
      </c>
      <c r="Q2821" s="93">
        <v>5000</v>
      </c>
      <c r="R2821" s="93">
        <v>5000</v>
      </c>
      <c r="S2821" s="1384"/>
      <c r="T2821" s="1384"/>
      <c r="U2821" s="1384"/>
      <c r="V2821" s="10" t="s">
        <v>517</v>
      </c>
      <c r="W2821" s="12" t="s">
        <v>2686</v>
      </c>
      <c r="X2821" s="16">
        <f t="shared" si="428"/>
        <v>5000</v>
      </c>
      <c r="Y2821" s="16">
        <f t="shared" si="429"/>
        <v>0</v>
      </c>
      <c r="Z2821" s="203"/>
      <c r="AA2821" s="244"/>
      <c r="AB2821" s="233"/>
    </row>
    <row r="2822" spans="1:28" s="30" customFormat="1" ht="75">
      <c r="A2822" s="112"/>
      <c r="B2822" s="358" t="s">
        <v>546</v>
      </c>
      <c r="C2822" s="372" t="s">
        <v>2697</v>
      </c>
      <c r="D2822" s="373">
        <v>40849</v>
      </c>
      <c r="E2822" s="1126" t="s">
        <v>4992</v>
      </c>
      <c r="F2822" s="371" t="s">
        <v>5669</v>
      </c>
      <c r="G2822" s="360"/>
      <c r="H2822" s="93"/>
      <c r="I2822" s="93"/>
      <c r="J2822" s="6"/>
      <c r="K2822" s="10">
        <v>300</v>
      </c>
      <c r="L2822" s="6"/>
      <c r="M2822" s="14">
        <f t="shared" si="433"/>
        <v>300</v>
      </c>
      <c r="N2822" s="6"/>
      <c r="O2822" s="117"/>
      <c r="P2822" s="1137" t="s">
        <v>102</v>
      </c>
      <c r="Q2822" s="93">
        <v>300</v>
      </c>
      <c r="R2822" s="93">
        <v>300</v>
      </c>
      <c r="S2822" s="876" t="s">
        <v>2698</v>
      </c>
      <c r="T2822" s="876"/>
      <c r="U2822" s="876"/>
      <c r="V2822" s="10" t="s">
        <v>517</v>
      </c>
      <c r="W2822" s="12" t="s">
        <v>2686</v>
      </c>
      <c r="X2822" s="16">
        <f t="shared" si="428"/>
        <v>300</v>
      </c>
      <c r="Y2822" s="16">
        <f t="shared" si="429"/>
        <v>0</v>
      </c>
    </row>
    <row r="2823" spans="1:28" s="30" customFormat="1" ht="75">
      <c r="A2823" s="112"/>
      <c r="B2823" s="358" t="s">
        <v>546</v>
      </c>
      <c r="C2823" s="372" t="s">
        <v>2699</v>
      </c>
      <c r="D2823" s="373">
        <v>40849</v>
      </c>
      <c r="E2823" s="1126" t="s">
        <v>4992</v>
      </c>
      <c r="F2823" s="371" t="s">
        <v>5669</v>
      </c>
      <c r="G2823" s="360"/>
      <c r="H2823" s="93"/>
      <c r="I2823" s="93"/>
      <c r="J2823" s="6"/>
      <c r="K2823" s="10">
        <v>1000</v>
      </c>
      <c r="L2823" s="6"/>
      <c r="M2823" s="14">
        <f t="shared" si="433"/>
        <v>1000</v>
      </c>
      <c r="N2823" s="6"/>
      <c r="O2823" s="117"/>
      <c r="P2823" s="1137" t="s">
        <v>102</v>
      </c>
      <c r="Q2823" s="93">
        <v>1000</v>
      </c>
      <c r="R2823" s="93">
        <v>1000</v>
      </c>
      <c r="S2823" s="876" t="s">
        <v>2700</v>
      </c>
      <c r="T2823" s="876"/>
      <c r="U2823" s="876"/>
      <c r="V2823" s="10" t="s">
        <v>517</v>
      </c>
      <c r="W2823" s="12" t="s">
        <v>2686</v>
      </c>
      <c r="X2823" s="16">
        <f t="shared" si="428"/>
        <v>1000</v>
      </c>
      <c r="Y2823" s="16">
        <f t="shared" si="429"/>
        <v>0</v>
      </c>
    </row>
    <row r="2824" spans="1:28" s="30" customFormat="1" ht="75">
      <c r="A2824" s="112"/>
      <c r="B2824" s="358" t="s">
        <v>546</v>
      </c>
      <c r="C2824" s="372" t="s">
        <v>2701</v>
      </c>
      <c r="D2824" s="373">
        <v>40849</v>
      </c>
      <c r="E2824" s="1126" t="s">
        <v>4992</v>
      </c>
      <c r="F2824" s="371" t="s">
        <v>5669</v>
      </c>
      <c r="G2824" s="360"/>
      <c r="H2824" s="93"/>
      <c r="I2824" s="93"/>
      <c r="J2824" s="6"/>
      <c r="K2824" s="10">
        <v>550</v>
      </c>
      <c r="L2824" s="6"/>
      <c r="M2824" s="14">
        <f t="shared" si="433"/>
        <v>550</v>
      </c>
      <c r="N2824" s="6"/>
      <c r="O2824" s="117"/>
      <c r="P2824" s="1137" t="s">
        <v>102</v>
      </c>
      <c r="Q2824" s="93">
        <v>550</v>
      </c>
      <c r="R2824" s="93">
        <v>550</v>
      </c>
      <c r="S2824" s="876" t="s">
        <v>2702</v>
      </c>
      <c r="T2824" s="876"/>
      <c r="U2824" s="876"/>
      <c r="V2824" s="10" t="s">
        <v>517</v>
      </c>
      <c r="W2824" s="12" t="s">
        <v>2686</v>
      </c>
      <c r="X2824" s="16">
        <f t="shared" si="428"/>
        <v>550</v>
      </c>
      <c r="Y2824" s="16">
        <f t="shared" si="429"/>
        <v>0</v>
      </c>
    </row>
    <row r="2825" spans="1:28" s="30" customFormat="1" ht="75">
      <c r="A2825" s="112"/>
      <c r="B2825" s="358" t="s">
        <v>546</v>
      </c>
      <c r="C2825" s="372" t="s">
        <v>2703</v>
      </c>
      <c r="D2825" s="373">
        <v>40849</v>
      </c>
      <c r="E2825" s="1126" t="s">
        <v>4992</v>
      </c>
      <c r="F2825" s="371" t="s">
        <v>5669</v>
      </c>
      <c r="G2825" s="360"/>
      <c r="H2825" s="93"/>
      <c r="I2825" s="93"/>
      <c r="J2825" s="6"/>
      <c r="K2825" s="10">
        <v>2000</v>
      </c>
      <c r="L2825" s="6"/>
      <c r="M2825" s="14">
        <f t="shared" si="433"/>
        <v>2000</v>
      </c>
      <c r="N2825" s="6"/>
      <c r="O2825" s="117"/>
      <c r="P2825" s="1137" t="s">
        <v>102</v>
      </c>
      <c r="Q2825" s="93">
        <v>2000</v>
      </c>
      <c r="R2825" s="93">
        <v>2000</v>
      </c>
      <c r="S2825" s="876" t="s">
        <v>2704</v>
      </c>
      <c r="T2825" s="876"/>
      <c r="U2825" s="876"/>
      <c r="V2825" s="10" t="s">
        <v>517</v>
      </c>
      <c r="W2825" s="12" t="s">
        <v>2686</v>
      </c>
      <c r="X2825" s="16">
        <f t="shared" si="428"/>
        <v>2000</v>
      </c>
      <c r="Y2825" s="16">
        <f t="shared" si="429"/>
        <v>0</v>
      </c>
    </row>
    <row r="2826" spans="1:28" s="30" customFormat="1" ht="75">
      <c r="A2826" s="112"/>
      <c r="B2826" s="358" t="s">
        <v>546</v>
      </c>
      <c r="C2826" s="372" t="s">
        <v>2705</v>
      </c>
      <c r="D2826" s="373">
        <v>40849</v>
      </c>
      <c r="E2826" s="1126" t="s">
        <v>4992</v>
      </c>
      <c r="F2826" s="371" t="s">
        <v>5669</v>
      </c>
      <c r="G2826" s="360"/>
      <c r="H2826" s="93"/>
      <c r="I2826" s="93"/>
      <c r="J2826" s="6"/>
      <c r="K2826" s="10">
        <v>1450</v>
      </c>
      <c r="L2826" s="6"/>
      <c r="M2826" s="14">
        <f t="shared" si="433"/>
        <v>1450</v>
      </c>
      <c r="N2826" s="6"/>
      <c r="O2826" s="117"/>
      <c r="P2826" s="1137" t="s">
        <v>102</v>
      </c>
      <c r="Q2826" s="93">
        <v>1450</v>
      </c>
      <c r="R2826" s="93">
        <v>1450</v>
      </c>
      <c r="S2826" s="876" t="s">
        <v>2706</v>
      </c>
      <c r="T2826" s="876"/>
      <c r="U2826" s="876"/>
      <c r="V2826" s="10" t="s">
        <v>517</v>
      </c>
      <c r="W2826" s="12" t="s">
        <v>2686</v>
      </c>
      <c r="X2826" s="16">
        <f t="shared" si="428"/>
        <v>1450</v>
      </c>
      <c r="Y2826" s="16">
        <f t="shared" si="429"/>
        <v>0</v>
      </c>
    </row>
    <row r="2827" spans="1:28" s="30" customFormat="1" ht="75">
      <c r="A2827" s="112"/>
      <c r="B2827" s="358" t="s">
        <v>546</v>
      </c>
      <c r="C2827" s="372" t="s">
        <v>2707</v>
      </c>
      <c r="D2827" s="373">
        <v>40858</v>
      </c>
      <c r="E2827" s="1126" t="s">
        <v>4992</v>
      </c>
      <c r="F2827" s="371" t="s">
        <v>5669</v>
      </c>
      <c r="G2827" s="360"/>
      <c r="H2827" s="93"/>
      <c r="I2827" s="93"/>
      <c r="J2827" s="6"/>
      <c r="K2827" s="10">
        <v>400</v>
      </c>
      <c r="L2827" s="6"/>
      <c r="M2827" s="14">
        <f t="shared" si="433"/>
        <v>400</v>
      </c>
      <c r="N2827" s="6"/>
      <c r="O2827" s="117"/>
      <c r="P2827" s="1137" t="s">
        <v>102</v>
      </c>
      <c r="Q2827" s="93"/>
      <c r="R2827" s="93"/>
      <c r="S2827" s="1343" t="s">
        <v>507</v>
      </c>
      <c r="T2827" s="1343"/>
      <c r="U2827" s="1343"/>
      <c r="V2827" s="10"/>
      <c r="W2827" s="12" t="s">
        <v>2686</v>
      </c>
      <c r="X2827" s="16">
        <f t="shared" si="428"/>
        <v>400</v>
      </c>
      <c r="Y2827" s="16">
        <f t="shared" si="429"/>
        <v>0</v>
      </c>
    </row>
    <row r="2828" spans="1:28" s="30" customFormat="1" ht="15">
      <c r="A2828" s="112"/>
      <c r="B2828" s="548"/>
      <c r="C2828" s="372"/>
      <c r="D2828" s="373"/>
      <c r="E2828" s="189"/>
      <c r="F2828" s="548"/>
      <c r="G2828" s="548"/>
      <c r="H2828" s="93"/>
      <c r="I2828" s="93"/>
      <c r="J2828" s="6"/>
      <c r="K2828" s="10"/>
      <c r="L2828" s="6"/>
      <c r="M2828" s="14"/>
      <c r="N2828" s="6"/>
      <c r="O2828" s="154"/>
      <c r="P2828" s="32"/>
      <c r="Q2828" s="243"/>
      <c r="R2828" s="243"/>
      <c r="S2828" s="515"/>
      <c r="T2828" s="515"/>
      <c r="U2828" s="515"/>
      <c r="V2828" s="10" t="s">
        <v>517</v>
      </c>
      <c r="X2828" s="16">
        <f t="shared" si="428"/>
        <v>0</v>
      </c>
      <c r="Y2828" s="16">
        <f t="shared" si="429"/>
        <v>0</v>
      </c>
    </row>
    <row r="2829" spans="1:28" s="30" customFormat="1" ht="75">
      <c r="A2829" s="112"/>
      <c r="B2829" s="1101" t="s">
        <v>2708</v>
      </c>
      <c r="C2829" s="77" t="s">
        <v>2709</v>
      </c>
      <c r="D2829" s="78">
        <v>40939</v>
      </c>
      <c r="E2829" s="785" t="s">
        <v>4992</v>
      </c>
      <c r="F2829" s="371" t="s">
        <v>5669</v>
      </c>
      <c r="G2829" s="1103"/>
      <c r="H2829" s="105"/>
      <c r="I2829" s="105"/>
      <c r="J2829" s="79"/>
      <c r="K2829" s="74">
        <v>2000</v>
      </c>
      <c r="L2829" s="74"/>
      <c r="M2829" s="74">
        <f t="shared" ref="M2829:M2834" si="434">SUM(K2829:L2829)</f>
        <v>2000</v>
      </c>
      <c r="N2829" s="74"/>
      <c r="O2829" s="154"/>
      <c r="P2829" s="1137" t="s">
        <v>102</v>
      </c>
      <c r="Q2829" s="243">
        <v>2000</v>
      </c>
      <c r="R2829" s="243">
        <v>2000</v>
      </c>
      <c r="S2829" s="515" t="s">
        <v>2710</v>
      </c>
      <c r="T2829" s="515"/>
      <c r="U2829" s="515"/>
      <c r="V2829" s="10" t="s">
        <v>517</v>
      </c>
      <c r="W2829" s="12" t="s">
        <v>2686</v>
      </c>
      <c r="X2829" s="16">
        <f t="shared" si="428"/>
        <v>2000</v>
      </c>
      <c r="Y2829" s="16">
        <f t="shared" si="429"/>
        <v>0</v>
      </c>
    </row>
    <row r="2830" spans="1:28" s="30" customFormat="1" ht="75">
      <c r="A2830" s="112"/>
      <c r="B2830" s="1101" t="s">
        <v>2711</v>
      </c>
      <c r="C2830" s="77" t="s">
        <v>2712</v>
      </c>
      <c r="D2830" s="78">
        <v>40995</v>
      </c>
      <c r="E2830" s="785" t="s">
        <v>4992</v>
      </c>
      <c r="F2830" s="371" t="s">
        <v>5669</v>
      </c>
      <c r="G2830" s="1103"/>
      <c r="H2830" s="105"/>
      <c r="I2830" s="105"/>
      <c r="J2830" s="79"/>
      <c r="K2830" s="74">
        <v>200</v>
      </c>
      <c r="L2830" s="74"/>
      <c r="M2830" s="74">
        <f t="shared" si="434"/>
        <v>200</v>
      </c>
      <c r="N2830" s="74"/>
      <c r="O2830" s="154"/>
      <c r="P2830" s="1137" t="s">
        <v>102</v>
      </c>
      <c r="Q2830" s="243">
        <v>200</v>
      </c>
      <c r="R2830" s="243">
        <v>200</v>
      </c>
      <c r="S2830" s="515" t="s">
        <v>2713</v>
      </c>
      <c r="T2830" s="515"/>
      <c r="U2830" s="515"/>
      <c r="V2830" s="10" t="s">
        <v>517</v>
      </c>
      <c r="W2830" s="12" t="s">
        <v>2686</v>
      </c>
      <c r="X2830" s="16">
        <f t="shared" si="428"/>
        <v>200</v>
      </c>
      <c r="Y2830" s="16">
        <f t="shared" si="429"/>
        <v>0</v>
      </c>
    </row>
    <row r="2831" spans="1:28" s="30" customFormat="1" ht="75">
      <c r="A2831" s="112"/>
      <c r="B2831" s="1101" t="s">
        <v>2714</v>
      </c>
      <c r="C2831" s="77" t="s">
        <v>2715</v>
      </c>
      <c r="D2831" s="78">
        <v>40995</v>
      </c>
      <c r="E2831" s="785" t="s">
        <v>4992</v>
      </c>
      <c r="F2831" s="371" t="s">
        <v>5669</v>
      </c>
      <c r="G2831" s="1103"/>
      <c r="H2831" s="105"/>
      <c r="I2831" s="105"/>
      <c r="J2831" s="79"/>
      <c r="K2831" s="74">
        <v>500</v>
      </c>
      <c r="L2831" s="74"/>
      <c r="M2831" s="74">
        <f t="shared" si="434"/>
        <v>500</v>
      </c>
      <c r="N2831" s="74"/>
      <c r="O2831" s="154"/>
      <c r="P2831" s="1137" t="s">
        <v>102</v>
      </c>
      <c r="Q2831" s="243">
        <v>500</v>
      </c>
      <c r="R2831" s="243">
        <v>500</v>
      </c>
      <c r="S2831" s="515" t="s">
        <v>2716</v>
      </c>
      <c r="T2831" s="515"/>
      <c r="U2831" s="515"/>
      <c r="V2831" s="10" t="s">
        <v>517</v>
      </c>
      <c r="W2831" s="12" t="s">
        <v>2686</v>
      </c>
      <c r="X2831" s="16">
        <f t="shared" si="428"/>
        <v>500</v>
      </c>
      <c r="Y2831" s="16">
        <f t="shared" si="429"/>
        <v>0</v>
      </c>
    </row>
    <row r="2832" spans="1:28" s="30" customFormat="1" ht="75">
      <c r="A2832" s="112"/>
      <c r="B2832" s="1101" t="s">
        <v>2717</v>
      </c>
      <c r="C2832" s="77" t="s">
        <v>2718</v>
      </c>
      <c r="D2832" s="78">
        <v>41016</v>
      </c>
      <c r="E2832" s="785" t="s">
        <v>4992</v>
      </c>
      <c r="F2832" s="371" t="s">
        <v>5669</v>
      </c>
      <c r="G2832" s="1103"/>
      <c r="H2832" s="105"/>
      <c r="I2832" s="105"/>
      <c r="J2832" s="79"/>
      <c r="K2832" s="74">
        <v>200</v>
      </c>
      <c r="L2832" s="74"/>
      <c r="M2832" s="74">
        <f t="shared" si="434"/>
        <v>200</v>
      </c>
      <c r="N2832" s="74"/>
      <c r="O2832" s="154"/>
      <c r="P2832" s="1137" t="s">
        <v>102</v>
      </c>
      <c r="Q2832" s="243">
        <v>200</v>
      </c>
      <c r="R2832" s="243">
        <v>200</v>
      </c>
      <c r="S2832" s="515" t="s">
        <v>2719</v>
      </c>
      <c r="T2832" s="515"/>
      <c r="U2832" s="515"/>
      <c r="V2832" s="10" t="s">
        <v>517</v>
      </c>
      <c r="W2832" s="12" t="s">
        <v>2686</v>
      </c>
      <c r="X2832" s="16">
        <f t="shared" si="428"/>
        <v>200</v>
      </c>
      <c r="Y2832" s="16">
        <f t="shared" si="429"/>
        <v>0</v>
      </c>
    </row>
    <row r="2833" spans="1:25" s="30" customFormat="1" ht="75">
      <c r="A2833" s="112"/>
      <c r="B2833" s="358" t="s">
        <v>546</v>
      </c>
      <c r="C2833" s="77" t="s">
        <v>2720</v>
      </c>
      <c r="D2833" s="78">
        <v>41016</v>
      </c>
      <c r="E2833" s="1126" t="s">
        <v>4992</v>
      </c>
      <c r="F2833" s="371" t="s">
        <v>5669</v>
      </c>
      <c r="G2833" s="1103"/>
      <c r="H2833" s="105"/>
      <c r="I2833" s="105"/>
      <c r="J2833" s="79"/>
      <c r="K2833" s="74">
        <v>325</v>
      </c>
      <c r="L2833" s="74"/>
      <c r="M2833" s="74">
        <f t="shared" si="434"/>
        <v>325</v>
      </c>
      <c r="N2833" s="74"/>
      <c r="O2833" s="154"/>
      <c r="P2833" s="1137" t="s">
        <v>102</v>
      </c>
      <c r="Q2833" s="243">
        <v>325</v>
      </c>
      <c r="R2833" s="243">
        <v>325</v>
      </c>
      <c r="S2833" s="515" t="s">
        <v>2721</v>
      </c>
      <c r="T2833" s="515"/>
      <c r="U2833" s="515"/>
      <c r="V2833" s="10" t="s">
        <v>517</v>
      </c>
      <c r="W2833" s="12" t="s">
        <v>2686</v>
      </c>
      <c r="X2833" s="16">
        <f t="shared" si="428"/>
        <v>325</v>
      </c>
      <c r="Y2833" s="16">
        <f t="shared" si="429"/>
        <v>0</v>
      </c>
    </row>
    <row r="2834" spans="1:25" s="39" customFormat="1" ht="75">
      <c r="B2834" s="358" t="s">
        <v>546</v>
      </c>
      <c r="C2834" s="77" t="s">
        <v>2722</v>
      </c>
      <c r="D2834" s="78">
        <v>41191</v>
      </c>
      <c r="E2834" s="1126" t="s">
        <v>4992</v>
      </c>
      <c r="F2834" s="371" t="s">
        <v>5669</v>
      </c>
      <c r="G2834" s="1103"/>
      <c r="H2834" s="105"/>
      <c r="I2834" s="105"/>
      <c r="J2834" s="79"/>
      <c r="K2834" s="74">
        <v>250</v>
      </c>
      <c r="L2834" s="74"/>
      <c r="M2834" s="74">
        <f t="shared" si="434"/>
        <v>250</v>
      </c>
      <c r="N2834" s="74"/>
      <c r="O2834" s="23"/>
      <c r="P2834" s="1137" t="s">
        <v>102</v>
      </c>
      <c r="Q2834" s="216"/>
      <c r="R2834" s="216"/>
      <c r="S2834" s="877"/>
      <c r="T2834" s="877"/>
      <c r="U2834" s="877"/>
      <c r="V2834" s="22"/>
      <c r="W2834" s="12" t="s">
        <v>2686</v>
      </c>
      <c r="X2834" s="16">
        <f t="shared" si="428"/>
        <v>250</v>
      </c>
      <c r="Y2834" s="16">
        <f t="shared" si="429"/>
        <v>0</v>
      </c>
    </row>
    <row r="2835" spans="1:25" s="30" customFormat="1" ht="15">
      <c r="A2835" s="112"/>
      <c r="B2835" s="21"/>
      <c r="C2835" s="23"/>
      <c r="D2835" s="380"/>
      <c r="E2835" s="23"/>
      <c r="F2835" s="22"/>
      <c r="G2835" s="22"/>
      <c r="H2835" s="22"/>
      <c r="I2835" s="22"/>
      <c r="J2835" s="22"/>
      <c r="K2835" s="22"/>
      <c r="L2835" s="22"/>
      <c r="M2835" s="22"/>
      <c r="N2835" s="22"/>
      <c r="O2835" s="154"/>
      <c r="P2835" s="165"/>
      <c r="Q2835" s="243"/>
      <c r="R2835" s="243"/>
      <c r="S2835" s="515"/>
      <c r="T2835" s="515"/>
      <c r="U2835" s="515"/>
      <c r="V2835" s="31"/>
      <c r="W2835" s="31"/>
      <c r="X2835" s="16">
        <f t="shared" ref="X2835:X2865" si="435">SUM(J2835:L2835)</f>
        <v>0</v>
      </c>
      <c r="Y2835" s="16">
        <f t="shared" ref="Y2835:Y2866" si="436">X2835-M2835</f>
        <v>0</v>
      </c>
    </row>
    <row r="2836" spans="1:25" s="30" customFormat="1" ht="15">
      <c r="A2836" s="112"/>
      <c r="B2836" s="869" t="s">
        <v>2723</v>
      </c>
      <c r="C2836" s="77"/>
      <c r="D2836" s="78"/>
      <c r="E2836" s="1126"/>
      <c r="F2836" s="98"/>
      <c r="G2836" s="98"/>
      <c r="H2836" s="105"/>
      <c r="I2836" s="105"/>
      <c r="J2836" s="7">
        <f>SUM(J2837:J2847)</f>
        <v>0</v>
      </c>
      <c r="K2836" s="7">
        <f>SUM(K2838:K2847)</f>
        <v>7100</v>
      </c>
      <c r="L2836" s="7">
        <f t="shared" ref="L2836:M2836" si="437">SUM(L2838:L2847)</f>
        <v>0</v>
      </c>
      <c r="M2836" s="7">
        <f t="shared" si="437"/>
        <v>7100</v>
      </c>
      <c r="N2836" s="74"/>
      <c r="O2836" s="117"/>
      <c r="P2836" s="32"/>
      <c r="Q2836" s="7">
        <f t="shared" ref="Q2836:R2836" si="438">SUM(Q2838:Q2847)</f>
        <v>3500</v>
      </c>
      <c r="R2836" s="7">
        <f t="shared" si="438"/>
        <v>3500</v>
      </c>
      <c r="S2836" s="876"/>
      <c r="T2836" s="876"/>
      <c r="U2836" s="876"/>
      <c r="V2836" s="10"/>
      <c r="W2836" s="31"/>
      <c r="X2836" s="16">
        <f t="shared" si="435"/>
        <v>7100</v>
      </c>
      <c r="Y2836" s="16">
        <f t="shared" si="436"/>
        <v>0</v>
      </c>
    </row>
    <row r="2837" spans="1:25" s="30" customFormat="1" ht="15">
      <c r="A2837" s="112"/>
      <c r="B2837" s="870" t="s">
        <v>2680</v>
      </c>
      <c r="C2837" s="1126"/>
      <c r="D2837" s="361"/>
      <c r="E2837" s="32"/>
      <c r="F2837" s="212"/>
      <c r="G2837" s="347"/>
      <c r="H2837" s="93">
        <v>232600</v>
      </c>
      <c r="I2837" s="93"/>
      <c r="N2837" s="6">
        <f>M2836+H2837</f>
        <v>239700</v>
      </c>
      <c r="O2837" s="117"/>
      <c r="P2837" s="32"/>
      <c r="Q2837" s="93"/>
      <c r="R2837" s="93"/>
      <c r="S2837" s="876"/>
      <c r="T2837" s="876"/>
      <c r="U2837" s="876"/>
      <c r="V2837" s="31" t="s">
        <v>517</v>
      </c>
      <c r="W2837" s="12" t="s">
        <v>2724</v>
      </c>
      <c r="X2837" s="16">
        <f t="shared" si="435"/>
        <v>0</v>
      </c>
      <c r="Y2837" s="16">
        <f t="shared" si="436"/>
        <v>0</v>
      </c>
    </row>
    <row r="2838" spans="1:25" s="30" customFormat="1" ht="14.25" customHeight="1">
      <c r="A2838" s="112"/>
      <c r="B2838" s="358" t="s">
        <v>546</v>
      </c>
      <c r="C2838" s="1126" t="s">
        <v>2725</v>
      </c>
      <c r="D2838" s="361">
        <v>40883</v>
      </c>
      <c r="E2838" s="1187" t="s">
        <v>4992</v>
      </c>
      <c r="F2838" s="212" t="s">
        <v>5670</v>
      </c>
      <c r="G2838" s="360"/>
      <c r="H2838" s="93"/>
      <c r="I2838" s="93"/>
      <c r="J2838" s="6"/>
      <c r="K2838" s="10">
        <v>3000</v>
      </c>
      <c r="L2838" s="6"/>
      <c r="M2838" s="14">
        <f t="shared" ref="M2838:M2843" si="439">SUM(J2838:L2838)</f>
        <v>3000</v>
      </c>
      <c r="N2838" s="6"/>
      <c r="O2838" s="117"/>
      <c r="P2838" s="1137" t="s">
        <v>102</v>
      </c>
      <c r="Q2838" s="93">
        <v>3000</v>
      </c>
      <c r="R2838" s="93">
        <v>3000</v>
      </c>
      <c r="S2838" s="1332" t="s">
        <v>6083</v>
      </c>
      <c r="T2838" s="1332"/>
      <c r="U2838" s="1332"/>
      <c r="V2838" s="31"/>
      <c r="W2838" s="12" t="s">
        <v>2724</v>
      </c>
      <c r="X2838" s="16">
        <f t="shared" si="435"/>
        <v>3000</v>
      </c>
      <c r="Y2838" s="16">
        <f t="shared" si="436"/>
        <v>0</v>
      </c>
    </row>
    <row r="2839" spans="1:25" s="30" customFormat="1" ht="15">
      <c r="A2839" s="112"/>
      <c r="B2839" s="358" t="s">
        <v>546</v>
      </c>
      <c r="C2839" s="1126" t="s">
        <v>2726</v>
      </c>
      <c r="D2839" s="361">
        <v>40883</v>
      </c>
      <c r="E2839" s="1126" t="s">
        <v>4992</v>
      </c>
      <c r="F2839" s="212" t="s">
        <v>5670</v>
      </c>
      <c r="G2839" s="360"/>
      <c r="H2839" s="93"/>
      <c r="I2839" s="93"/>
      <c r="J2839" s="6"/>
      <c r="K2839" s="10">
        <v>500</v>
      </c>
      <c r="L2839" s="6"/>
      <c r="M2839" s="14">
        <f t="shared" si="439"/>
        <v>500</v>
      </c>
      <c r="N2839" s="6"/>
      <c r="O2839" s="117"/>
      <c r="P2839" s="1137" t="s">
        <v>102</v>
      </c>
      <c r="Q2839" s="93">
        <v>500</v>
      </c>
      <c r="R2839" s="93">
        <v>500</v>
      </c>
      <c r="S2839" s="1332" t="s">
        <v>6084</v>
      </c>
      <c r="T2839" s="1332"/>
      <c r="U2839" s="1332"/>
      <c r="V2839" s="31" t="s">
        <v>517</v>
      </c>
      <c r="W2839" s="12" t="s">
        <v>2724</v>
      </c>
      <c r="X2839" s="16">
        <f t="shared" si="435"/>
        <v>500</v>
      </c>
      <c r="Y2839" s="16">
        <f t="shared" si="436"/>
        <v>0</v>
      </c>
    </row>
    <row r="2840" spans="1:25" s="30" customFormat="1" ht="75">
      <c r="A2840" s="112"/>
      <c r="B2840" s="358" t="s">
        <v>546</v>
      </c>
      <c r="C2840" s="372" t="s">
        <v>2727</v>
      </c>
      <c r="D2840" s="373">
        <v>40849</v>
      </c>
      <c r="E2840" s="1126" t="s">
        <v>4992</v>
      </c>
      <c r="F2840" s="371" t="s">
        <v>5671</v>
      </c>
      <c r="G2840" s="360"/>
      <c r="H2840" s="93"/>
      <c r="I2840" s="93"/>
      <c r="J2840" s="6"/>
      <c r="K2840" s="10">
        <v>250</v>
      </c>
      <c r="L2840" s="6"/>
      <c r="M2840" s="14">
        <f t="shared" si="439"/>
        <v>250</v>
      </c>
      <c r="N2840" s="6"/>
      <c r="O2840" s="117"/>
      <c r="P2840" s="1137" t="s">
        <v>102</v>
      </c>
      <c r="Q2840" s="93"/>
      <c r="R2840" s="93"/>
      <c r="S2840" s="1343" t="s">
        <v>507</v>
      </c>
      <c r="T2840" s="1343"/>
      <c r="U2840" s="1343"/>
      <c r="V2840" s="31" t="s">
        <v>517</v>
      </c>
      <c r="W2840" s="12" t="s">
        <v>2724</v>
      </c>
      <c r="X2840" s="16">
        <f t="shared" si="435"/>
        <v>250</v>
      </c>
      <c r="Y2840" s="16">
        <f t="shared" si="436"/>
        <v>0</v>
      </c>
    </row>
    <row r="2841" spans="1:25" s="30" customFormat="1" ht="75">
      <c r="A2841" s="112"/>
      <c r="B2841" s="871" t="s">
        <v>4464</v>
      </c>
      <c r="C2841" s="372" t="s">
        <v>2728</v>
      </c>
      <c r="D2841" s="373">
        <v>40849</v>
      </c>
      <c r="E2841" s="1126" t="s">
        <v>4992</v>
      </c>
      <c r="F2841" s="371" t="s">
        <v>5671</v>
      </c>
      <c r="G2841" s="360"/>
      <c r="H2841" s="93"/>
      <c r="I2841" s="93"/>
      <c r="J2841" s="6"/>
      <c r="K2841" s="10">
        <v>300</v>
      </c>
      <c r="L2841" s="6"/>
      <c r="M2841" s="14">
        <f t="shared" si="439"/>
        <v>300</v>
      </c>
      <c r="N2841" s="6"/>
      <c r="O2841" s="117"/>
      <c r="P2841" s="1137" t="s">
        <v>102</v>
      </c>
      <c r="Q2841" s="93"/>
      <c r="R2841" s="93"/>
      <c r="S2841" s="1343" t="s">
        <v>507</v>
      </c>
      <c r="T2841" s="1343"/>
      <c r="U2841" s="1343"/>
      <c r="V2841" s="31" t="s">
        <v>517</v>
      </c>
      <c r="W2841" s="12" t="s">
        <v>2724</v>
      </c>
      <c r="X2841" s="16">
        <f t="shared" si="435"/>
        <v>300</v>
      </c>
      <c r="Y2841" s="16">
        <f t="shared" si="436"/>
        <v>0</v>
      </c>
    </row>
    <row r="2842" spans="1:25" s="30" customFormat="1" ht="75">
      <c r="A2842" s="112"/>
      <c r="B2842" s="358" t="s">
        <v>546</v>
      </c>
      <c r="C2842" s="372" t="s">
        <v>2729</v>
      </c>
      <c r="D2842" s="373">
        <v>40857</v>
      </c>
      <c r="E2842" s="1126" t="s">
        <v>4992</v>
      </c>
      <c r="F2842" s="371" t="s">
        <v>5671</v>
      </c>
      <c r="G2842" s="360"/>
      <c r="H2842" s="93"/>
      <c r="I2842" s="93"/>
      <c r="J2842" s="6"/>
      <c r="K2842" s="10">
        <v>250</v>
      </c>
      <c r="L2842" s="6"/>
      <c r="M2842" s="14">
        <f t="shared" si="439"/>
        <v>250</v>
      </c>
      <c r="N2842" s="6"/>
      <c r="O2842" s="117"/>
      <c r="P2842" s="1137" t="s">
        <v>102</v>
      </c>
      <c r="Q2842" s="93"/>
      <c r="R2842" s="93"/>
      <c r="S2842" s="1343" t="s">
        <v>507</v>
      </c>
      <c r="T2842" s="1343"/>
      <c r="U2842" s="1343"/>
      <c r="V2842" s="31" t="s">
        <v>517</v>
      </c>
      <c r="W2842" s="12" t="s">
        <v>2724</v>
      </c>
      <c r="X2842" s="16">
        <f t="shared" si="435"/>
        <v>250</v>
      </c>
      <c r="Y2842" s="16">
        <f t="shared" si="436"/>
        <v>0</v>
      </c>
    </row>
    <row r="2843" spans="1:25" s="30" customFormat="1" ht="75">
      <c r="A2843" s="112"/>
      <c r="B2843" s="358" t="s">
        <v>546</v>
      </c>
      <c r="C2843" s="372" t="s">
        <v>2730</v>
      </c>
      <c r="D2843" s="373">
        <v>40899</v>
      </c>
      <c r="E2843" s="1126" t="s">
        <v>4992</v>
      </c>
      <c r="F2843" s="371" t="s">
        <v>5671</v>
      </c>
      <c r="G2843" s="360"/>
      <c r="H2843" s="93"/>
      <c r="I2843" s="93"/>
      <c r="J2843" s="6"/>
      <c r="K2843" s="10">
        <v>500</v>
      </c>
      <c r="L2843" s="6"/>
      <c r="M2843" s="14">
        <f t="shared" si="439"/>
        <v>500</v>
      </c>
      <c r="N2843" s="6"/>
      <c r="O2843" s="117"/>
      <c r="P2843" s="1137" t="s">
        <v>102</v>
      </c>
      <c r="Q2843" s="93"/>
      <c r="R2843" s="93"/>
      <c r="S2843" s="1343" t="s">
        <v>507</v>
      </c>
      <c r="T2843" s="1343"/>
      <c r="U2843" s="1343"/>
      <c r="V2843" s="31"/>
      <c r="W2843" s="31"/>
      <c r="X2843" s="16">
        <f t="shared" si="435"/>
        <v>500</v>
      </c>
      <c r="Y2843" s="16">
        <f t="shared" si="436"/>
        <v>0</v>
      </c>
    </row>
    <row r="2844" spans="1:25" s="30" customFormat="1" ht="15">
      <c r="A2844" s="112"/>
      <c r="B2844" s="550"/>
      <c r="C2844" s="372"/>
      <c r="D2844" s="373"/>
      <c r="E2844" s="189"/>
      <c r="F2844" s="548"/>
      <c r="G2844" s="550"/>
      <c r="H2844" s="93"/>
      <c r="I2844" s="93"/>
      <c r="J2844" s="6"/>
      <c r="K2844" s="10"/>
      <c r="L2844" s="6"/>
      <c r="M2844" s="14"/>
      <c r="N2844" s="6"/>
      <c r="O2844" s="1136"/>
      <c r="P2844" s="32"/>
      <c r="Q2844" s="93"/>
      <c r="R2844" s="93"/>
      <c r="S2844" s="876"/>
      <c r="T2844" s="876"/>
      <c r="U2844" s="876"/>
      <c r="V2844" s="31"/>
      <c r="W2844" s="31"/>
      <c r="X2844" s="16">
        <f t="shared" si="435"/>
        <v>0</v>
      </c>
      <c r="Y2844" s="16">
        <f t="shared" si="436"/>
        <v>0</v>
      </c>
    </row>
    <row r="2845" spans="1:25" s="30" customFormat="1" ht="15">
      <c r="A2845" s="112"/>
      <c r="B2845" s="10"/>
      <c r="C2845" s="1137"/>
      <c r="D2845" s="13"/>
      <c r="E2845" s="1137"/>
      <c r="F2845" s="12"/>
      <c r="G2845" s="14"/>
      <c r="H2845" s="67"/>
      <c r="I2845" s="67"/>
      <c r="J2845" s="14"/>
      <c r="K2845" s="14"/>
      <c r="L2845" s="14"/>
      <c r="M2845" s="14"/>
      <c r="N2845" s="10"/>
      <c r="O2845" s="154"/>
      <c r="P2845" s="32"/>
      <c r="Q2845" s="243"/>
      <c r="R2845" s="243"/>
      <c r="S2845" s="515"/>
      <c r="T2845" s="515"/>
      <c r="U2845" s="515"/>
      <c r="V2845" s="31" t="s">
        <v>517</v>
      </c>
      <c r="W2845" s="12" t="s">
        <v>2724</v>
      </c>
      <c r="X2845" s="16">
        <f t="shared" si="435"/>
        <v>0</v>
      </c>
      <c r="Y2845" s="16">
        <f t="shared" si="436"/>
        <v>0</v>
      </c>
    </row>
    <row r="2846" spans="1:25" s="30" customFormat="1" ht="76.5" customHeight="1">
      <c r="A2846" s="112"/>
      <c r="B2846" s="1101" t="s">
        <v>2681</v>
      </c>
      <c r="C2846" s="77" t="s">
        <v>2731</v>
      </c>
      <c r="D2846" s="78">
        <v>40939</v>
      </c>
      <c r="E2846" s="785" t="s">
        <v>4992</v>
      </c>
      <c r="F2846" s="72" t="s">
        <v>5671</v>
      </c>
      <c r="G2846" s="1103"/>
      <c r="H2846" s="105"/>
      <c r="I2846" s="105"/>
      <c r="J2846" s="79"/>
      <c r="K2846" s="74">
        <v>2000</v>
      </c>
      <c r="L2846" s="74"/>
      <c r="M2846" s="74">
        <f>SUM(K2846:L2846)</f>
        <v>2000</v>
      </c>
      <c r="N2846" s="74"/>
      <c r="O2846" s="154"/>
      <c r="P2846" s="1137" t="s">
        <v>102</v>
      </c>
      <c r="Q2846" s="243"/>
      <c r="R2846" s="243"/>
      <c r="S2846" s="1343" t="s">
        <v>507</v>
      </c>
      <c r="T2846" s="1343"/>
      <c r="U2846" s="1343"/>
      <c r="V2846" s="31" t="s">
        <v>517</v>
      </c>
      <c r="W2846" s="12" t="s">
        <v>2724</v>
      </c>
      <c r="X2846" s="16">
        <f t="shared" si="435"/>
        <v>2000</v>
      </c>
      <c r="Y2846" s="16">
        <f t="shared" si="436"/>
        <v>0</v>
      </c>
    </row>
    <row r="2847" spans="1:25" s="39" customFormat="1" ht="81.75" customHeight="1">
      <c r="B2847" s="1101" t="s">
        <v>2732</v>
      </c>
      <c r="C2847" s="77" t="s">
        <v>2733</v>
      </c>
      <c r="D2847" s="78">
        <v>40995</v>
      </c>
      <c r="E2847" s="785" t="s">
        <v>4992</v>
      </c>
      <c r="F2847" s="72" t="s">
        <v>5671</v>
      </c>
      <c r="G2847" s="1103"/>
      <c r="H2847" s="105"/>
      <c r="I2847" s="105"/>
      <c r="J2847" s="79"/>
      <c r="K2847" s="74">
        <v>300</v>
      </c>
      <c r="L2847" s="74"/>
      <c r="M2847" s="74">
        <f>SUM(K2847:L2847)</f>
        <v>300</v>
      </c>
      <c r="N2847" s="74"/>
      <c r="O2847" s="23"/>
      <c r="P2847" s="1137" t="s">
        <v>102</v>
      </c>
      <c r="Q2847" s="216"/>
      <c r="R2847" s="216"/>
      <c r="S2847" s="1343" t="s">
        <v>507</v>
      </c>
      <c r="T2847" s="1343"/>
      <c r="U2847" s="1343"/>
      <c r="V2847" s="22"/>
      <c r="X2847" s="16">
        <f t="shared" si="435"/>
        <v>300</v>
      </c>
      <c r="Y2847" s="16">
        <f t="shared" si="436"/>
        <v>0</v>
      </c>
    </row>
    <row r="2848" spans="1:25" s="478" customFormat="1" ht="15">
      <c r="A2848" s="742"/>
      <c r="B2848" s="21"/>
      <c r="C2848" s="23"/>
      <c r="D2848" s="380"/>
      <c r="E2848" s="23"/>
      <c r="F2848" s="22"/>
      <c r="G2848" s="22"/>
      <c r="H2848" s="22"/>
      <c r="I2848" s="22"/>
      <c r="J2848" s="22"/>
      <c r="K2848" s="22"/>
      <c r="L2848" s="22"/>
      <c r="M2848" s="22"/>
      <c r="N2848" s="22"/>
      <c r="O2848" s="117"/>
      <c r="P2848" s="165"/>
      <c r="Q2848" s="93"/>
      <c r="R2848" s="93"/>
      <c r="S2848" s="876"/>
      <c r="T2848" s="876"/>
      <c r="U2848" s="876"/>
      <c r="V2848" s="551"/>
      <c r="W2848" s="393"/>
      <c r="X2848" s="16">
        <f t="shared" si="435"/>
        <v>0</v>
      </c>
      <c r="Y2848" s="16">
        <f t="shared" si="436"/>
        <v>0</v>
      </c>
    </row>
    <row r="2849" spans="1:25" s="30" customFormat="1" ht="15">
      <c r="A2849" s="112"/>
      <c r="B2849" s="829" t="s">
        <v>442</v>
      </c>
      <c r="C2849" s="1140"/>
      <c r="D2849" s="94"/>
      <c r="E2849" s="1137"/>
      <c r="F2849" s="393"/>
      <c r="G2849" s="187"/>
      <c r="H2849" s="93"/>
      <c r="I2849" s="93"/>
      <c r="J2849" s="121">
        <f>SUM(J2850:J2863)</f>
        <v>0</v>
      </c>
      <c r="K2849" s="121">
        <f>SUM(K2851:K2863)</f>
        <v>13500</v>
      </c>
      <c r="L2849" s="121">
        <f t="shared" ref="L2849:M2849" si="440">SUM(L2850:L2863)</f>
        <v>0</v>
      </c>
      <c r="M2849" s="121">
        <f t="shared" si="440"/>
        <v>13500</v>
      </c>
      <c r="N2849" s="6"/>
      <c r="O2849" s="812"/>
      <c r="P2849" s="769"/>
      <c r="Q2849" s="121">
        <f t="shared" ref="Q2849:R2849" si="441">SUM(Q2850:Q2863)</f>
        <v>10500</v>
      </c>
      <c r="R2849" s="121">
        <f t="shared" si="441"/>
        <v>9700</v>
      </c>
      <c r="S2849" s="515"/>
      <c r="T2849" s="515"/>
      <c r="U2849" s="515"/>
      <c r="V2849" s="10"/>
      <c r="W2849" s="31"/>
      <c r="X2849" s="16">
        <f t="shared" si="435"/>
        <v>13500</v>
      </c>
      <c r="Y2849" s="16">
        <f t="shared" si="436"/>
        <v>0</v>
      </c>
    </row>
    <row r="2850" spans="1:25" s="30" customFormat="1" ht="15">
      <c r="A2850" s="112"/>
      <c r="B2850" s="248" t="s">
        <v>2680</v>
      </c>
      <c r="C2850" s="77"/>
      <c r="D2850" s="78"/>
      <c r="E2850" s="77"/>
      <c r="F2850" s="98"/>
      <c r="G2850" s="97"/>
      <c r="H2850" s="243">
        <v>122000</v>
      </c>
      <c r="I2850" s="243"/>
      <c r="N2850" s="357">
        <f>M2849+H2850</f>
        <v>135500</v>
      </c>
      <c r="O2850" s="154"/>
      <c r="P2850" s="32"/>
      <c r="Q2850" s="243"/>
      <c r="R2850" s="243"/>
      <c r="S2850" s="515"/>
      <c r="T2850" s="515"/>
      <c r="U2850" s="515"/>
      <c r="V2850" s="10" t="s">
        <v>517</v>
      </c>
      <c r="W2850" s="12" t="s">
        <v>2724</v>
      </c>
      <c r="X2850" s="16">
        <f t="shared" si="435"/>
        <v>0</v>
      </c>
      <c r="Y2850" s="16">
        <f t="shared" si="436"/>
        <v>0</v>
      </c>
    </row>
    <row r="2851" spans="1:25" s="30" customFormat="1" ht="30">
      <c r="A2851" s="112"/>
      <c r="B2851" s="1101" t="s">
        <v>2681</v>
      </c>
      <c r="C2851" s="77" t="s">
        <v>2734</v>
      </c>
      <c r="D2851" s="78">
        <v>40939</v>
      </c>
      <c r="E2851" s="182" t="s">
        <v>4965</v>
      </c>
      <c r="F2851" s="371" t="s">
        <v>5683</v>
      </c>
      <c r="G2851" s="1103"/>
      <c r="H2851" s="105"/>
      <c r="I2851" s="105"/>
      <c r="J2851" s="79"/>
      <c r="K2851" s="74">
        <v>2000</v>
      </c>
      <c r="L2851" s="74"/>
      <c r="M2851" s="74">
        <f>SUM(K2851:L2851)</f>
        <v>2000</v>
      </c>
      <c r="N2851" s="74"/>
      <c r="O2851" s="154"/>
      <c r="P2851" s="1137" t="s">
        <v>102</v>
      </c>
      <c r="Q2851" s="243">
        <v>2000</v>
      </c>
      <c r="R2851" s="243">
        <v>2000</v>
      </c>
      <c r="S2851" s="515" t="s">
        <v>2735</v>
      </c>
      <c r="T2851" s="515"/>
      <c r="U2851" s="515"/>
      <c r="V2851" s="10" t="s">
        <v>517</v>
      </c>
      <c r="W2851" s="12" t="s">
        <v>2724</v>
      </c>
      <c r="X2851" s="16">
        <f t="shared" si="435"/>
        <v>2000</v>
      </c>
      <c r="Y2851" s="16">
        <f t="shared" si="436"/>
        <v>0</v>
      </c>
    </row>
    <row r="2852" spans="1:25" s="30" customFormat="1" ht="30">
      <c r="A2852" s="112"/>
      <c r="B2852" s="1101" t="s">
        <v>2711</v>
      </c>
      <c r="C2852" s="77" t="s">
        <v>2736</v>
      </c>
      <c r="D2852" s="78">
        <v>40995</v>
      </c>
      <c r="E2852" s="182" t="s">
        <v>4965</v>
      </c>
      <c r="F2852" s="371" t="s">
        <v>5683</v>
      </c>
      <c r="G2852" s="1103"/>
      <c r="H2852" s="105"/>
      <c r="I2852" s="105"/>
      <c r="J2852" s="79"/>
      <c r="K2852" s="74">
        <v>200</v>
      </c>
      <c r="L2852" s="74"/>
      <c r="M2852" s="74">
        <f>SUM(K2852:L2852)</f>
        <v>200</v>
      </c>
      <c r="N2852" s="74"/>
      <c r="O2852" s="154"/>
      <c r="P2852" s="1137" t="s">
        <v>102</v>
      </c>
      <c r="Q2852" s="243">
        <v>200</v>
      </c>
      <c r="R2852" s="243">
        <f>144+56</f>
        <v>200</v>
      </c>
      <c r="S2852" s="515" t="s">
        <v>2737</v>
      </c>
      <c r="T2852" s="515"/>
      <c r="U2852" s="515"/>
      <c r="V2852" s="10" t="s">
        <v>517</v>
      </c>
      <c r="W2852" s="12" t="s">
        <v>2724</v>
      </c>
      <c r="X2852" s="16">
        <f t="shared" si="435"/>
        <v>200</v>
      </c>
      <c r="Y2852" s="16">
        <f t="shared" si="436"/>
        <v>0</v>
      </c>
    </row>
    <row r="2853" spans="1:25" s="30" customFormat="1" ht="30">
      <c r="A2853" s="112"/>
      <c r="B2853" s="1101" t="s">
        <v>2732</v>
      </c>
      <c r="C2853" s="77" t="s">
        <v>2738</v>
      </c>
      <c r="D2853" s="78">
        <v>40995</v>
      </c>
      <c r="E2853" s="182" t="s">
        <v>4965</v>
      </c>
      <c r="F2853" s="371" t="s">
        <v>5683</v>
      </c>
      <c r="G2853" s="1103"/>
      <c r="H2853" s="105"/>
      <c r="I2853" s="105"/>
      <c r="J2853" s="79"/>
      <c r="K2853" s="74">
        <v>300</v>
      </c>
      <c r="L2853" s="74"/>
      <c r="M2853" s="74">
        <f>SUM(K2853:L2853)</f>
        <v>300</v>
      </c>
      <c r="N2853" s="74"/>
      <c r="O2853" s="117"/>
      <c r="P2853" s="1137" t="s">
        <v>102</v>
      </c>
      <c r="Q2853" s="93">
        <v>300</v>
      </c>
      <c r="R2853" s="93">
        <f>142+158</f>
        <v>300</v>
      </c>
      <c r="S2853" s="876" t="s">
        <v>2739</v>
      </c>
      <c r="T2853" s="876"/>
      <c r="U2853" s="876"/>
      <c r="V2853" s="358" t="s">
        <v>517</v>
      </c>
      <c r="W2853" s="12" t="s">
        <v>2724</v>
      </c>
      <c r="X2853" s="16">
        <f t="shared" si="435"/>
        <v>300</v>
      </c>
      <c r="Y2853" s="16">
        <f t="shared" si="436"/>
        <v>0</v>
      </c>
    </row>
    <row r="2854" spans="1:25" s="30" customFormat="1" ht="30">
      <c r="A2854" s="112"/>
      <c r="B2854" s="832" t="s">
        <v>2740</v>
      </c>
      <c r="C2854" s="372" t="s">
        <v>2741</v>
      </c>
      <c r="D2854" s="373">
        <v>40899</v>
      </c>
      <c r="E2854" s="779" t="s">
        <v>4965</v>
      </c>
      <c r="F2854" s="371" t="s">
        <v>5683</v>
      </c>
      <c r="G2854" s="360"/>
      <c r="H2854" s="93"/>
      <c r="I2854" s="93"/>
      <c r="J2854" s="6"/>
      <c r="K2854" s="10">
        <v>800</v>
      </c>
      <c r="L2854" s="6"/>
      <c r="M2854" s="14">
        <f t="shared" ref="M2854:M2863" si="442">SUM(J2854:L2854)</f>
        <v>800</v>
      </c>
      <c r="N2854" s="6"/>
      <c r="O2854" s="117"/>
      <c r="P2854" s="1137" t="s">
        <v>102</v>
      </c>
      <c r="Q2854" s="93">
        <v>800</v>
      </c>
      <c r="R2854" s="93"/>
      <c r="S2854" s="876"/>
      <c r="T2854" s="876"/>
      <c r="U2854" s="876"/>
      <c r="V2854" s="358" t="s">
        <v>517</v>
      </c>
      <c r="W2854" s="12" t="s">
        <v>2724</v>
      </c>
      <c r="X2854" s="16">
        <f t="shared" si="435"/>
        <v>800</v>
      </c>
      <c r="Y2854" s="16">
        <f t="shared" si="436"/>
        <v>0</v>
      </c>
    </row>
    <row r="2855" spans="1:25" s="30" customFormat="1" ht="30">
      <c r="A2855" s="112"/>
      <c r="B2855" s="832" t="s">
        <v>2740</v>
      </c>
      <c r="C2855" s="372" t="s">
        <v>2742</v>
      </c>
      <c r="D2855" s="373">
        <v>40899</v>
      </c>
      <c r="E2855" s="779" t="s">
        <v>4965</v>
      </c>
      <c r="F2855" s="371" t="s">
        <v>5683</v>
      </c>
      <c r="G2855" s="360"/>
      <c r="H2855" s="93"/>
      <c r="I2855" s="93"/>
      <c r="J2855" s="6"/>
      <c r="K2855" s="10">
        <v>800</v>
      </c>
      <c r="L2855" s="6"/>
      <c r="M2855" s="14">
        <f t="shared" si="442"/>
        <v>800</v>
      </c>
      <c r="N2855" s="6"/>
      <c r="O2855" s="117"/>
      <c r="P2855" s="1137" t="s">
        <v>102</v>
      </c>
      <c r="Q2855" s="93">
        <v>800</v>
      </c>
      <c r="R2855" s="93">
        <v>800</v>
      </c>
      <c r="S2855" s="876" t="s">
        <v>2743</v>
      </c>
      <c r="T2855" s="876"/>
      <c r="U2855" s="876"/>
      <c r="V2855" s="358" t="s">
        <v>517</v>
      </c>
      <c r="W2855" s="12" t="s">
        <v>2724</v>
      </c>
      <c r="X2855" s="16">
        <f t="shared" si="435"/>
        <v>800</v>
      </c>
      <c r="Y2855" s="16">
        <f t="shared" si="436"/>
        <v>0</v>
      </c>
    </row>
    <row r="2856" spans="1:25" s="30" customFormat="1" ht="30">
      <c r="A2856" s="112"/>
      <c r="B2856" s="832" t="s">
        <v>2740</v>
      </c>
      <c r="C2856" s="1126" t="s">
        <v>2744</v>
      </c>
      <c r="D2856" s="361">
        <v>40899</v>
      </c>
      <c r="E2856" s="779" t="s">
        <v>4965</v>
      </c>
      <c r="F2856" s="371" t="s">
        <v>5683</v>
      </c>
      <c r="G2856" s="360"/>
      <c r="H2856" s="93"/>
      <c r="I2856" s="93"/>
      <c r="J2856" s="6"/>
      <c r="K2856" s="10">
        <v>250</v>
      </c>
      <c r="L2856" s="6"/>
      <c r="M2856" s="14">
        <f t="shared" si="442"/>
        <v>250</v>
      </c>
      <c r="N2856" s="6"/>
      <c r="O2856" s="117"/>
      <c r="P2856" s="1137" t="s">
        <v>102</v>
      </c>
      <c r="Q2856" s="93">
        <v>250</v>
      </c>
      <c r="R2856" s="93">
        <v>250</v>
      </c>
      <c r="S2856" s="876" t="s">
        <v>2745</v>
      </c>
      <c r="T2856" s="876"/>
      <c r="U2856" s="876"/>
      <c r="V2856" s="358" t="s">
        <v>517</v>
      </c>
      <c r="W2856" s="12" t="s">
        <v>2724</v>
      </c>
      <c r="X2856" s="16">
        <f t="shared" si="435"/>
        <v>250</v>
      </c>
      <c r="Y2856" s="16">
        <f t="shared" si="436"/>
        <v>0</v>
      </c>
    </row>
    <row r="2857" spans="1:25" s="30" customFormat="1" ht="30">
      <c r="A2857" s="112"/>
      <c r="B2857" s="832" t="s">
        <v>2740</v>
      </c>
      <c r="C2857" s="372" t="s">
        <v>2746</v>
      </c>
      <c r="D2857" s="373">
        <v>40849</v>
      </c>
      <c r="E2857" s="779" t="s">
        <v>4965</v>
      </c>
      <c r="F2857" s="371" t="s">
        <v>5683</v>
      </c>
      <c r="G2857" s="360"/>
      <c r="H2857" s="93"/>
      <c r="I2857" s="93"/>
      <c r="J2857" s="6"/>
      <c r="K2857" s="10">
        <v>700</v>
      </c>
      <c r="L2857" s="6"/>
      <c r="M2857" s="14">
        <f t="shared" si="442"/>
        <v>700</v>
      </c>
      <c r="N2857" s="6"/>
      <c r="O2857" s="117"/>
      <c r="P2857" s="1137" t="s">
        <v>102</v>
      </c>
      <c r="Q2857" s="93">
        <v>700</v>
      </c>
      <c r="R2857" s="93">
        <f>1.5+698.5</f>
        <v>700</v>
      </c>
      <c r="S2857" s="876" t="s">
        <v>2747</v>
      </c>
      <c r="T2857" s="876"/>
      <c r="U2857" s="876"/>
      <c r="V2857" s="10" t="s">
        <v>517</v>
      </c>
      <c r="W2857" s="12" t="s">
        <v>2724</v>
      </c>
      <c r="X2857" s="16">
        <f t="shared" si="435"/>
        <v>700</v>
      </c>
      <c r="Y2857" s="16">
        <f t="shared" si="436"/>
        <v>0</v>
      </c>
    </row>
    <row r="2858" spans="1:25" s="30" customFormat="1" ht="30">
      <c r="A2858" s="112"/>
      <c r="B2858" s="832" t="s">
        <v>2740</v>
      </c>
      <c r="C2858" s="372" t="s">
        <v>2748</v>
      </c>
      <c r="D2858" s="373">
        <v>40849</v>
      </c>
      <c r="E2858" s="779" t="s">
        <v>4965</v>
      </c>
      <c r="F2858" s="371" t="s">
        <v>5683</v>
      </c>
      <c r="G2858" s="360"/>
      <c r="H2858" s="93"/>
      <c r="I2858" s="93"/>
      <c r="J2858" s="6"/>
      <c r="K2858" s="10">
        <v>300</v>
      </c>
      <c r="L2858" s="6"/>
      <c r="M2858" s="14">
        <f t="shared" si="442"/>
        <v>300</v>
      </c>
      <c r="N2858" s="6"/>
      <c r="O2858" s="117"/>
      <c r="P2858" s="1137" t="s">
        <v>102</v>
      </c>
      <c r="Q2858" s="93">
        <v>300</v>
      </c>
      <c r="R2858" s="93">
        <v>300</v>
      </c>
      <c r="S2858" s="876" t="s">
        <v>2749</v>
      </c>
      <c r="T2858" s="876"/>
      <c r="U2858" s="876"/>
      <c r="V2858" s="358" t="s">
        <v>517</v>
      </c>
      <c r="W2858" s="12" t="s">
        <v>2724</v>
      </c>
      <c r="X2858" s="16">
        <f t="shared" si="435"/>
        <v>300</v>
      </c>
      <c r="Y2858" s="16">
        <f t="shared" si="436"/>
        <v>0</v>
      </c>
    </row>
    <row r="2859" spans="1:25" s="30" customFormat="1" ht="30">
      <c r="A2859" s="112"/>
      <c r="B2859" s="832" t="s">
        <v>2740</v>
      </c>
      <c r="C2859" s="372" t="s">
        <v>2750</v>
      </c>
      <c r="D2859" s="373">
        <v>40849</v>
      </c>
      <c r="E2859" s="779" t="s">
        <v>4965</v>
      </c>
      <c r="F2859" s="371" t="s">
        <v>5683</v>
      </c>
      <c r="G2859" s="360"/>
      <c r="H2859" s="93"/>
      <c r="I2859" s="93"/>
      <c r="J2859" s="6"/>
      <c r="K2859" s="10">
        <v>550</v>
      </c>
      <c r="L2859" s="6"/>
      <c r="M2859" s="14">
        <f t="shared" si="442"/>
        <v>550</v>
      </c>
      <c r="N2859" s="6"/>
      <c r="O2859" s="117"/>
      <c r="P2859" s="1137" t="s">
        <v>102</v>
      </c>
      <c r="Q2859" s="93">
        <v>550</v>
      </c>
      <c r="R2859" s="93">
        <f>369+181</f>
        <v>550</v>
      </c>
      <c r="S2859" s="876"/>
      <c r="T2859" s="876"/>
      <c r="U2859" s="876"/>
      <c r="V2859" s="358" t="s">
        <v>517</v>
      </c>
      <c r="W2859" s="12" t="s">
        <v>2724</v>
      </c>
      <c r="X2859" s="16">
        <f t="shared" si="435"/>
        <v>550</v>
      </c>
      <c r="Y2859" s="16">
        <f t="shared" si="436"/>
        <v>0</v>
      </c>
    </row>
    <row r="2860" spans="1:25" s="30" customFormat="1" ht="30">
      <c r="A2860" s="112"/>
      <c r="B2860" s="832" t="s">
        <v>2740</v>
      </c>
      <c r="C2860" s="372" t="s">
        <v>2751</v>
      </c>
      <c r="D2860" s="373">
        <v>40849</v>
      </c>
      <c r="E2860" s="779" t="s">
        <v>4965</v>
      </c>
      <c r="F2860" s="371" t="s">
        <v>5683</v>
      </c>
      <c r="G2860" s="360"/>
      <c r="H2860" s="93"/>
      <c r="I2860" s="93"/>
      <c r="J2860" s="6"/>
      <c r="K2860" s="10">
        <v>3000</v>
      </c>
      <c r="L2860" s="6"/>
      <c r="M2860" s="14">
        <f t="shared" si="442"/>
        <v>3000</v>
      </c>
      <c r="N2860" s="6"/>
      <c r="O2860" s="117"/>
      <c r="P2860" s="1137" t="s">
        <v>102</v>
      </c>
      <c r="Q2860" s="93"/>
      <c r="R2860" s="93"/>
      <c r="S2860" s="876" t="s">
        <v>2752</v>
      </c>
      <c r="T2860" s="876"/>
      <c r="U2860" s="876"/>
      <c r="V2860" s="358" t="s">
        <v>517</v>
      </c>
      <c r="W2860" s="12" t="s">
        <v>2724</v>
      </c>
      <c r="X2860" s="16">
        <f t="shared" si="435"/>
        <v>3000</v>
      </c>
      <c r="Y2860" s="16">
        <f t="shared" si="436"/>
        <v>0</v>
      </c>
    </row>
    <row r="2861" spans="1:25" s="30" customFormat="1" ht="30">
      <c r="A2861" s="112"/>
      <c r="B2861" s="832" t="s">
        <v>2740</v>
      </c>
      <c r="C2861" s="372" t="s">
        <v>2753</v>
      </c>
      <c r="D2861" s="373">
        <v>40849</v>
      </c>
      <c r="E2861" s="779" t="s">
        <v>4965</v>
      </c>
      <c r="F2861" s="371" t="s">
        <v>5683</v>
      </c>
      <c r="G2861" s="360"/>
      <c r="H2861" s="93"/>
      <c r="I2861" s="93"/>
      <c r="J2861" s="6"/>
      <c r="K2861" s="10">
        <v>400</v>
      </c>
      <c r="L2861" s="6"/>
      <c r="M2861" s="14">
        <f t="shared" si="442"/>
        <v>400</v>
      </c>
      <c r="N2861" s="6"/>
      <c r="O2861" s="117"/>
      <c r="P2861" s="1137" t="s">
        <v>102</v>
      </c>
      <c r="Q2861" s="93">
        <v>400</v>
      </c>
      <c r="R2861" s="93">
        <f>246+154</f>
        <v>400</v>
      </c>
      <c r="S2861" s="876" t="s">
        <v>2754</v>
      </c>
      <c r="T2861" s="876"/>
      <c r="U2861" s="876"/>
      <c r="V2861" s="358" t="s">
        <v>517</v>
      </c>
      <c r="W2861" s="12" t="s">
        <v>2724</v>
      </c>
      <c r="X2861" s="16">
        <f t="shared" si="435"/>
        <v>400</v>
      </c>
      <c r="Y2861" s="16">
        <f t="shared" si="436"/>
        <v>0</v>
      </c>
    </row>
    <row r="2862" spans="1:25" s="30" customFormat="1" ht="30">
      <c r="A2862" s="112"/>
      <c r="B2862" s="832" t="s">
        <v>2740</v>
      </c>
      <c r="C2862" s="372" t="s">
        <v>2755</v>
      </c>
      <c r="D2862" s="373">
        <v>40865</v>
      </c>
      <c r="E2862" s="779" t="s">
        <v>4965</v>
      </c>
      <c r="F2862" s="371" t="s">
        <v>5683</v>
      </c>
      <c r="G2862" s="360"/>
      <c r="H2862" s="93"/>
      <c r="I2862" s="93"/>
      <c r="J2862" s="6"/>
      <c r="K2862" s="10">
        <v>200</v>
      </c>
      <c r="L2862" s="6"/>
      <c r="M2862" s="14">
        <f t="shared" si="442"/>
        <v>200</v>
      </c>
      <c r="N2862" s="6"/>
      <c r="O2862" s="117"/>
      <c r="P2862" s="1137" t="s">
        <v>102</v>
      </c>
      <c r="Q2862" s="93">
        <v>200</v>
      </c>
      <c r="R2862" s="93">
        <v>200</v>
      </c>
      <c r="S2862" s="876" t="s">
        <v>2756</v>
      </c>
      <c r="T2862" s="876"/>
      <c r="U2862" s="876"/>
      <c r="V2862" s="358" t="s">
        <v>517</v>
      </c>
      <c r="W2862" s="12" t="s">
        <v>2724</v>
      </c>
      <c r="X2862" s="16">
        <f t="shared" si="435"/>
        <v>200</v>
      </c>
      <c r="Y2862" s="16">
        <f t="shared" si="436"/>
        <v>0</v>
      </c>
    </row>
    <row r="2863" spans="1:25" s="39" customFormat="1" ht="15.95" customHeight="1">
      <c r="B2863" s="832" t="s">
        <v>2740</v>
      </c>
      <c r="C2863" s="1126" t="s">
        <v>2757</v>
      </c>
      <c r="D2863" s="361">
        <v>40883</v>
      </c>
      <c r="E2863" s="1126" t="s">
        <v>622</v>
      </c>
      <c r="F2863" s="212" t="s">
        <v>5684</v>
      </c>
      <c r="G2863" s="360"/>
      <c r="H2863" s="93"/>
      <c r="I2863" s="93"/>
      <c r="J2863" s="6"/>
      <c r="K2863" s="10">
        <v>4000</v>
      </c>
      <c r="L2863" s="6"/>
      <c r="M2863" s="14">
        <f t="shared" si="442"/>
        <v>4000</v>
      </c>
      <c r="N2863" s="6"/>
      <c r="O2863" s="23"/>
      <c r="P2863" s="1137" t="s">
        <v>102</v>
      </c>
      <c r="Q2863" s="216">
        <v>4000</v>
      </c>
      <c r="R2863" s="216">
        <v>4000</v>
      </c>
      <c r="S2863" s="877" t="s">
        <v>6085</v>
      </c>
      <c r="T2863" s="877"/>
      <c r="U2863" s="877"/>
      <c r="V2863" s="22"/>
      <c r="X2863" s="16">
        <f t="shared" si="435"/>
        <v>4000</v>
      </c>
      <c r="Y2863" s="16">
        <f t="shared" si="436"/>
        <v>0</v>
      </c>
    </row>
    <row r="2864" spans="1:25" s="39" customFormat="1" ht="15.95" customHeight="1">
      <c r="B2864" s="21"/>
      <c r="C2864" s="23"/>
      <c r="D2864" s="380"/>
      <c r="E2864" s="23"/>
      <c r="F2864" s="22"/>
      <c r="G2864" s="22"/>
      <c r="H2864" s="22"/>
      <c r="I2864" s="22"/>
      <c r="J2864" s="22"/>
      <c r="K2864" s="22"/>
      <c r="L2864" s="22"/>
      <c r="M2864" s="22"/>
      <c r="N2864" s="22"/>
      <c r="O2864" s="23"/>
      <c r="P2864" s="165"/>
      <c r="Q2864" s="216"/>
      <c r="R2864" s="216"/>
      <c r="S2864" s="877"/>
      <c r="T2864" s="877"/>
      <c r="U2864" s="877"/>
      <c r="V2864" s="22"/>
      <c r="X2864" s="16">
        <f t="shared" si="435"/>
        <v>0</v>
      </c>
      <c r="Y2864" s="16">
        <f t="shared" si="436"/>
        <v>0</v>
      </c>
    </row>
    <row r="2865" spans="1:25" s="9" customFormat="1" ht="15">
      <c r="A2865" s="697"/>
      <c r="B2865" s="21"/>
      <c r="C2865" s="23"/>
      <c r="D2865" s="380"/>
      <c r="E2865" s="23"/>
      <c r="F2865" s="22"/>
      <c r="G2865" s="22"/>
      <c r="H2865" s="22"/>
      <c r="I2865" s="22"/>
      <c r="J2865" s="22"/>
      <c r="K2865" s="22"/>
      <c r="L2865" s="22"/>
      <c r="M2865" s="22"/>
      <c r="N2865" s="22"/>
      <c r="O2865" s="117"/>
      <c r="P2865" s="165"/>
      <c r="Q2865" s="93"/>
      <c r="R2865" s="93"/>
      <c r="S2865" s="876"/>
      <c r="T2865" s="876"/>
      <c r="U2865" s="876"/>
      <c r="V2865" s="6"/>
      <c r="W2865" s="187"/>
      <c r="X2865" s="16">
        <f t="shared" si="435"/>
        <v>0</v>
      </c>
      <c r="Y2865" s="16">
        <f t="shared" si="436"/>
        <v>0</v>
      </c>
    </row>
    <row r="2866" spans="1:25" s="30" customFormat="1" ht="15">
      <c r="A2866" s="112"/>
      <c r="B2866" s="869" t="s">
        <v>2760</v>
      </c>
      <c r="C2866" s="399"/>
      <c r="D2866" s="387"/>
      <c r="E2866" s="235"/>
      <c r="F2866" s="790"/>
      <c r="G2866" s="549"/>
      <c r="H2866" s="109"/>
      <c r="I2866" s="109"/>
      <c r="J2866" s="221">
        <f>SUM(J2867:J2868)</f>
        <v>0</v>
      </c>
      <c r="K2866" s="221">
        <f>SUM(K2867:K2868)</f>
        <v>110000</v>
      </c>
      <c r="L2866" s="221">
        <f>SUM(L2867:L2868)</f>
        <v>0</v>
      </c>
      <c r="M2866" s="221">
        <f>SUM(M2867:M2868)</f>
        <v>110000</v>
      </c>
      <c r="N2866" s="366"/>
      <c r="O2866" s="810"/>
      <c r="P2866" s="43"/>
      <c r="Q2866" s="221">
        <f t="shared" ref="Q2866:R2866" si="443">SUM(Q2867:Q2868)</f>
        <v>100000</v>
      </c>
      <c r="R2866" s="221">
        <f t="shared" si="443"/>
        <v>100000</v>
      </c>
      <c r="S2866" s="926"/>
      <c r="T2866" s="926"/>
      <c r="U2866" s="926"/>
      <c r="V2866" s="112"/>
      <c r="W2866" s="112"/>
      <c r="X2866" s="16">
        <f t="shared" ref="X2866:X2880" si="444">SUM(J2866:L2866)</f>
        <v>110000</v>
      </c>
      <c r="Y2866" s="16">
        <f t="shared" si="436"/>
        <v>0</v>
      </c>
    </row>
    <row r="2867" spans="1:25" s="30" customFormat="1" ht="60">
      <c r="A2867" s="112"/>
      <c r="B2867" s="1131" t="s">
        <v>5800</v>
      </c>
      <c r="C2867" s="372" t="s">
        <v>2761</v>
      </c>
      <c r="D2867" s="373">
        <v>40899</v>
      </c>
      <c r="E2867" s="189" t="s">
        <v>4618</v>
      </c>
      <c r="F2867" s="696" t="s">
        <v>5685</v>
      </c>
      <c r="G2867" s="550"/>
      <c r="H2867" s="93"/>
      <c r="I2867" s="93"/>
      <c r="J2867" s="6"/>
      <c r="K2867" s="1135">
        <v>10000</v>
      </c>
      <c r="L2867" s="6"/>
      <c r="M2867" s="1135">
        <f>SUM(J2867:L2867)</f>
        <v>10000</v>
      </c>
      <c r="N2867" s="6"/>
      <c r="O2867" s="37"/>
      <c r="P2867" s="1137" t="s">
        <v>102</v>
      </c>
      <c r="Q2867" s="93"/>
      <c r="R2867" s="93"/>
      <c r="S2867" s="1326" t="s">
        <v>507</v>
      </c>
      <c r="T2867" s="1326"/>
      <c r="U2867" s="1326"/>
      <c r="V2867" s="31" t="s">
        <v>517</v>
      </c>
      <c r="W2867" s="12" t="s">
        <v>76</v>
      </c>
      <c r="X2867" s="16">
        <f t="shared" si="444"/>
        <v>10000</v>
      </c>
      <c r="Y2867" s="16">
        <f t="shared" ref="Y2867:Y2885" si="445">X2867-M2867</f>
        <v>0</v>
      </c>
    </row>
    <row r="2868" spans="1:25" s="39" customFormat="1" ht="32.25" customHeight="1">
      <c r="B2868" s="553" t="s">
        <v>2762</v>
      </c>
      <c r="C2868" s="69" t="s">
        <v>2763</v>
      </c>
      <c r="D2868" s="552">
        <v>40897</v>
      </c>
      <c r="E2868" s="214" t="s">
        <v>5686</v>
      </c>
      <c r="F2868" s="12" t="s">
        <v>4617</v>
      </c>
      <c r="G2868" s="102"/>
      <c r="H2868" s="93"/>
      <c r="I2868" s="93"/>
      <c r="J2868" s="35"/>
      <c r="K2868" s="21">
        <v>100000</v>
      </c>
      <c r="L2868" s="35"/>
      <c r="M2868" s="22">
        <f>SUM(J2868:L2868)</f>
        <v>100000</v>
      </c>
      <c r="N2868" s="35"/>
      <c r="O2868" s="23"/>
      <c r="P2868" s="1137" t="s">
        <v>102</v>
      </c>
      <c r="Q2868" s="216">
        <v>100000</v>
      </c>
      <c r="R2868" s="216">
        <v>100000</v>
      </c>
      <c r="S2868" s="1324" t="s">
        <v>2764</v>
      </c>
      <c r="T2868" s="1324"/>
      <c r="U2868" s="1324"/>
      <c r="V2868" s="22"/>
      <c r="W2868" s="12" t="s">
        <v>76</v>
      </c>
      <c r="X2868" s="16">
        <f t="shared" si="444"/>
        <v>100000</v>
      </c>
      <c r="Y2868" s="16">
        <f t="shared" si="445"/>
        <v>0</v>
      </c>
    </row>
    <row r="2869" spans="1:25" s="41" customFormat="1" ht="15">
      <c r="A2869" s="39"/>
      <c r="B2869" s="21"/>
      <c r="C2869" s="23"/>
      <c r="D2869" s="380"/>
      <c r="E2869" s="23"/>
      <c r="F2869" s="22"/>
      <c r="G2869" s="22"/>
      <c r="H2869" s="22"/>
      <c r="I2869" s="22"/>
      <c r="J2869" s="22"/>
      <c r="K2869" s="22"/>
      <c r="L2869" s="22"/>
      <c r="M2869" s="22"/>
      <c r="N2869" s="22"/>
      <c r="O2869" s="812"/>
      <c r="P2869" s="165"/>
      <c r="Q2869" s="243"/>
      <c r="R2869" s="243"/>
      <c r="S2869" s="515"/>
      <c r="T2869" s="515"/>
      <c r="U2869" s="515"/>
      <c r="V2869" s="10"/>
      <c r="W2869" s="31"/>
      <c r="X2869" s="16">
        <f t="shared" si="444"/>
        <v>0</v>
      </c>
      <c r="Y2869" s="16">
        <f t="shared" si="445"/>
        <v>0</v>
      </c>
    </row>
    <row r="2870" spans="1:25" s="41" customFormat="1" ht="15">
      <c r="A2870" s="39"/>
      <c r="B2870" s="97" t="s">
        <v>2765</v>
      </c>
      <c r="C2870" s="77"/>
      <c r="D2870" s="78"/>
      <c r="E2870" s="77"/>
      <c r="F2870" s="98"/>
      <c r="G2870" s="97"/>
      <c r="H2870" s="243"/>
      <c r="I2870" s="243"/>
      <c r="J2870" s="121">
        <f>J2871+J2872+J2873</f>
        <v>0</v>
      </c>
      <c r="K2870" s="121">
        <f t="shared" ref="K2870:M2870" si="446">K2871+K2872+K2873</f>
        <v>2800</v>
      </c>
      <c r="L2870" s="121">
        <f t="shared" si="446"/>
        <v>0</v>
      </c>
      <c r="M2870" s="121">
        <f t="shared" si="446"/>
        <v>2800</v>
      </c>
      <c r="N2870" s="357"/>
      <c r="O2870" s="154"/>
      <c r="P2870" s="32"/>
      <c r="Q2870" s="121">
        <f t="shared" ref="Q2870:R2870" si="447">Q2871+Q2872+Q2873</f>
        <v>0</v>
      </c>
      <c r="R2870" s="121">
        <f t="shared" si="447"/>
        <v>0</v>
      </c>
      <c r="S2870" s="515"/>
      <c r="T2870" s="515"/>
      <c r="U2870" s="515"/>
      <c r="V2870" s="10" t="s">
        <v>517</v>
      </c>
      <c r="X2870" s="16">
        <f t="shared" si="444"/>
        <v>2800</v>
      </c>
      <c r="Y2870" s="16">
        <f t="shared" si="445"/>
        <v>0</v>
      </c>
    </row>
    <row r="2871" spans="1:25" s="30" customFormat="1" ht="60">
      <c r="A2871" s="112"/>
      <c r="B2871" s="1101" t="s">
        <v>2766</v>
      </c>
      <c r="C2871" s="77" t="s">
        <v>2767</v>
      </c>
      <c r="D2871" s="78">
        <v>40994</v>
      </c>
      <c r="E2871" s="182" t="s">
        <v>4618</v>
      </c>
      <c r="F2871" s="1103" t="s">
        <v>5685</v>
      </c>
      <c r="G2871" s="1103"/>
      <c r="H2871" s="105"/>
      <c r="I2871" s="105"/>
      <c r="J2871" s="79"/>
      <c r="K2871" s="74">
        <v>300</v>
      </c>
      <c r="L2871" s="74"/>
      <c r="M2871" s="74">
        <f>SUM(K2871:L2871)</f>
        <v>300</v>
      </c>
      <c r="N2871" s="74"/>
      <c r="O2871" s="154"/>
      <c r="P2871" s="1137" t="s">
        <v>102</v>
      </c>
      <c r="Q2871" s="243"/>
      <c r="R2871" s="243"/>
      <c r="S2871" s="1326" t="s">
        <v>507</v>
      </c>
      <c r="T2871" s="1326"/>
      <c r="U2871" s="1326"/>
      <c r="V2871" s="10" t="s">
        <v>517</v>
      </c>
      <c r="W2871" s="31" t="s">
        <v>76</v>
      </c>
      <c r="X2871" s="16">
        <f t="shared" si="444"/>
        <v>300</v>
      </c>
      <c r="Y2871" s="16">
        <f t="shared" si="445"/>
        <v>0</v>
      </c>
    </row>
    <row r="2872" spans="1:25" s="30" customFormat="1" ht="69.75" customHeight="1">
      <c r="A2872" s="112"/>
      <c r="B2872" s="1101" t="s">
        <v>2768</v>
      </c>
      <c r="C2872" s="77" t="s">
        <v>2770</v>
      </c>
      <c r="D2872" s="78">
        <v>40995</v>
      </c>
      <c r="E2872" s="182" t="s">
        <v>4618</v>
      </c>
      <c r="F2872" s="1103" t="s">
        <v>5685</v>
      </c>
      <c r="G2872" s="1103" t="s">
        <v>2769</v>
      </c>
      <c r="H2872" s="105"/>
      <c r="I2872" s="105"/>
      <c r="J2872" s="79"/>
      <c r="K2872" s="74">
        <v>1000</v>
      </c>
      <c r="L2872" s="74"/>
      <c r="M2872" s="74">
        <f>SUM(K2872:L2872)</f>
        <v>1000</v>
      </c>
      <c r="N2872" s="74"/>
      <c r="O2872" s="117"/>
      <c r="P2872" s="1137" t="s">
        <v>105</v>
      </c>
      <c r="Q2872" s="93"/>
      <c r="R2872" s="93"/>
      <c r="S2872" s="1326" t="s">
        <v>507</v>
      </c>
      <c r="T2872" s="1326"/>
      <c r="U2872" s="1326"/>
      <c r="V2872" s="358" t="s">
        <v>517</v>
      </c>
      <c r="W2872" s="31" t="s">
        <v>451</v>
      </c>
      <c r="X2872" s="16">
        <f t="shared" si="444"/>
        <v>1000</v>
      </c>
      <c r="Y2872" s="16">
        <f t="shared" si="445"/>
        <v>0</v>
      </c>
    </row>
    <row r="2873" spans="1:25" s="41" customFormat="1" ht="60">
      <c r="A2873" s="39"/>
      <c r="B2873" s="832" t="s">
        <v>2740</v>
      </c>
      <c r="C2873" s="372" t="s">
        <v>2771</v>
      </c>
      <c r="D2873" s="361">
        <v>40891</v>
      </c>
      <c r="E2873" s="1126" t="s">
        <v>4625</v>
      </c>
      <c r="F2873" s="689" t="s">
        <v>5685</v>
      </c>
      <c r="G2873" s="360"/>
      <c r="H2873" s="93"/>
      <c r="I2873" s="93"/>
      <c r="J2873" s="6"/>
      <c r="K2873" s="10">
        <v>1500</v>
      </c>
      <c r="L2873" s="6"/>
      <c r="M2873" s="14">
        <f>SUM(J2873:L2873)</f>
        <v>1500</v>
      </c>
      <c r="N2873" s="6"/>
      <c r="O2873" s="117"/>
      <c r="P2873" s="1137" t="s">
        <v>102</v>
      </c>
      <c r="Q2873" s="93"/>
      <c r="R2873" s="93"/>
      <c r="S2873" s="876"/>
      <c r="T2873" s="876"/>
      <c r="U2873" s="876"/>
      <c r="V2873" s="31"/>
      <c r="W2873" s="31" t="s">
        <v>76</v>
      </c>
      <c r="X2873" s="16">
        <f t="shared" si="444"/>
        <v>1500</v>
      </c>
      <c r="Y2873" s="16">
        <f t="shared" si="445"/>
        <v>0</v>
      </c>
    </row>
    <row r="2874" spans="1:25" s="30" customFormat="1" ht="15">
      <c r="A2874" s="112"/>
      <c r="B2874" s="21"/>
      <c r="C2874" s="23"/>
      <c r="D2874" s="380"/>
      <c r="E2874" s="23"/>
      <c r="F2874" s="22"/>
      <c r="G2874" s="22"/>
      <c r="H2874" s="22"/>
      <c r="I2874" s="22"/>
      <c r="J2874" s="22"/>
      <c r="K2874" s="22"/>
      <c r="L2874" s="22"/>
      <c r="M2874" s="22"/>
      <c r="N2874" s="22"/>
      <c r="O2874" s="812"/>
      <c r="P2874" s="165"/>
      <c r="Q2874" s="243"/>
      <c r="R2874" s="243"/>
      <c r="S2874" s="515"/>
      <c r="T2874" s="515"/>
      <c r="U2874" s="515"/>
      <c r="V2874" s="10"/>
      <c r="W2874" s="31"/>
      <c r="X2874" s="16">
        <f t="shared" si="444"/>
        <v>0</v>
      </c>
      <c r="Y2874" s="16">
        <f t="shared" si="445"/>
        <v>0</v>
      </c>
    </row>
    <row r="2875" spans="1:25" s="30" customFormat="1" ht="15">
      <c r="A2875" s="112"/>
      <c r="B2875" s="355" t="s">
        <v>2775</v>
      </c>
      <c r="C2875" s="77"/>
      <c r="D2875" s="78"/>
      <c r="E2875" s="77"/>
      <c r="F2875" s="98"/>
      <c r="G2875" s="97"/>
      <c r="H2875" s="243"/>
      <c r="I2875" s="243"/>
      <c r="J2875" s="121">
        <f>SUM(J2876:J2879)</f>
        <v>0</v>
      </c>
      <c r="K2875" s="121">
        <f>SUM(K2876:K2879)</f>
        <v>370000</v>
      </c>
      <c r="L2875" s="121">
        <f>SUM(L2876:L2879)</f>
        <v>0</v>
      </c>
      <c r="M2875" s="121">
        <f>SUM(M2876:M2879)</f>
        <v>370000</v>
      </c>
      <c r="N2875" s="357"/>
      <c r="O2875" s="154"/>
      <c r="P2875" s="32"/>
      <c r="Q2875" s="121">
        <f t="shared" ref="Q2875:R2875" si="448">SUM(Q2876:Q2879)</f>
        <v>370000</v>
      </c>
      <c r="R2875" s="121">
        <f t="shared" si="448"/>
        <v>370000</v>
      </c>
      <c r="S2875" s="515"/>
      <c r="T2875" s="515"/>
      <c r="U2875" s="515"/>
      <c r="V2875" s="10" t="s">
        <v>517</v>
      </c>
      <c r="X2875" s="16">
        <f t="shared" si="444"/>
        <v>370000</v>
      </c>
      <c r="Y2875" s="16">
        <f t="shared" si="445"/>
        <v>0</v>
      </c>
    </row>
    <row r="2876" spans="1:25" s="30" customFormat="1" ht="92.25" customHeight="1">
      <c r="A2876" s="112"/>
      <c r="B2876" s="263" t="s">
        <v>2776</v>
      </c>
      <c r="C2876" s="77" t="s">
        <v>2777</v>
      </c>
      <c r="D2876" s="78">
        <v>40983</v>
      </c>
      <c r="E2876" s="182" t="s">
        <v>4618</v>
      </c>
      <c r="F2876" s="212" t="s">
        <v>4617</v>
      </c>
      <c r="G2876" s="1103"/>
      <c r="H2876" s="105"/>
      <c r="I2876" s="105"/>
      <c r="J2876" s="79"/>
      <c r="K2876" s="74">
        <v>100000</v>
      </c>
      <c r="L2876" s="74"/>
      <c r="M2876" s="74">
        <f>SUM(K2876:L2876)</f>
        <v>100000</v>
      </c>
      <c r="N2876" s="74"/>
      <c r="O2876" s="154"/>
      <c r="P2876" s="32" t="s">
        <v>105</v>
      </c>
      <c r="Q2876" s="243">
        <v>100000</v>
      </c>
      <c r="R2876" s="243">
        <v>100000</v>
      </c>
      <c r="S2876" s="515" t="s">
        <v>2778</v>
      </c>
      <c r="T2876" s="515"/>
      <c r="U2876" s="515"/>
      <c r="V2876" s="10" t="s">
        <v>517</v>
      </c>
      <c r="W2876" s="31" t="s">
        <v>451</v>
      </c>
      <c r="X2876" s="16">
        <f t="shared" si="444"/>
        <v>100000</v>
      </c>
      <c r="Y2876" s="16">
        <f t="shared" si="445"/>
        <v>0</v>
      </c>
    </row>
    <row r="2877" spans="1:25" s="30" customFormat="1" ht="93.75" customHeight="1">
      <c r="A2877" s="112"/>
      <c r="B2877" s="263" t="s">
        <v>2779</v>
      </c>
      <c r="C2877" s="77" t="s">
        <v>2780</v>
      </c>
      <c r="D2877" s="78">
        <v>40983</v>
      </c>
      <c r="E2877" s="182" t="s">
        <v>4618</v>
      </c>
      <c r="F2877" s="212" t="s">
        <v>4617</v>
      </c>
      <c r="G2877" s="1103"/>
      <c r="H2877" s="105"/>
      <c r="I2877" s="105"/>
      <c r="J2877" s="79"/>
      <c r="K2877" s="74">
        <v>100000</v>
      </c>
      <c r="L2877" s="74"/>
      <c r="M2877" s="74">
        <f>SUM(K2877:L2877)</f>
        <v>100000</v>
      </c>
      <c r="N2877" s="74"/>
      <c r="O2877" s="154"/>
      <c r="P2877" s="32" t="s">
        <v>105</v>
      </c>
      <c r="Q2877" s="243">
        <v>100000</v>
      </c>
      <c r="R2877" s="243">
        <v>100000</v>
      </c>
      <c r="S2877" s="515" t="s">
        <v>2778</v>
      </c>
      <c r="T2877" s="515"/>
      <c r="U2877" s="515"/>
      <c r="V2877" s="10" t="s">
        <v>517</v>
      </c>
      <c r="W2877" s="31" t="s">
        <v>451</v>
      </c>
      <c r="X2877" s="16">
        <f t="shared" si="444"/>
        <v>100000</v>
      </c>
      <c r="Y2877" s="16">
        <f t="shared" si="445"/>
        <v>0</v>
      </c>
    </row>
    <row r="2878" spans="1:25" s="30" customFormat="1" ht="91.5" customHeight="1">
      <c r="A2878" s="112"/>
      <c r="B2878" s="263" t="s">
        <v>2781</v>
      </c>
      <c r="C2878" s="77" t="s">
        <v>2782</v>
      </c>
      <c r="D2878" s="78">
        <v>40983</v>
      </c>
      <c r="E2878" s="182" t="s">
        <v>4618</v>
      </c>
      <c r="F2878" s="212" t="s">
        <v>4617</v>
      </c>
      <c r="G2878" s="1103"/>
      <c r="H2878" s="105"/>
      <c r="I2878" s="105"/>
      <c r="J2878" s="79"/>
      <c r="K2878" s="74">
        <v>100000</v>
      </c>
      <c r="L2878" s="74"/>
      <c r="M2878" s="74">
        <f>SUM(K2878:L2878)</f>
        <v>100000</v>
      </c>
      <c r="N2878" s="74"/>
      <c r="O2878" s="154"/>
      <c r="P2878" s="32" t="s">
        <v>105</v>
      </c>
      <c r="Q2878" s="243">
        <v>100000</v>
      </c>
      <c r="R2878" s="243">
        <v>100000</v>
      </c>
      <c r="S2878" s="515" t="s">
        <v>2778</v>
      </c>
      <c r="T2878" s="515"/>
      <c r="U2878" s="515"/>
      <c r="V2878" s="10" t="s">
        <v>517</v>
      </c>
      <c r="W2878" s="31" t="s">
        <v>451</v>
      </c>
      <c r="X2878" s="16">
        <f t="shared" si="444"/>
        <v>100000</v>
      </c>
      <c r="Y2878" s="16">
        <f t="shared" si="445"/>
        <v>0</v>
      </c>
    </row>
    <row r="2879" spans="1:25" s="30" customFormat="1" ht="48" customHeight="1">
      <c r="A2879" s="112"/>
      <c r="B2879" s="263" t="s">
        <v>2783</v>
      </c>
      <c r="C2879" s="77" t="s">
        <v>2784</v>
      </c>
      <c r="D2879" s="78">
        <v>40983</v>
      </c>
      <c r="E2879" s="182" t="s">
        <v>4618</v>
      </c>
      <c r="F2879" s="212" t="s">
        <v>4617</v>
      </c>
      <c r="G2879" s="1103"/>
      <c r="H2879" s="105"/>
      <c r="I2879" s="105"/>
      <c r="J2879" s="79"/>
      <c r="K2879" s="74">
        <v>70000</v>
      </c>
      <c r="L2879" s="74"/>
      <c r="M2879" s="74">
        <f>SUM(K2879:L2879)</f>
        <v>70000</v>
      </c>
      <c r="N2879" s="74"/>
      <c r="O2879" s="154"/>
      <c r="P2879" s="32" t="s">
        <v>105</v>
      </c>
      <c r="Q2879" s="243">
        <v>70000</v>
      </c>
      <c r="R2879" s="243">
        <v>70000</v>
      </c>
      <c r="S2879" s="515" t="s">
        <v>2778</v>
      </c>
      <c r="T2879" s="515"/>
      <c r="U2879" s="515"/>
      <c r="V2879" s="10"/>
      <c r="W2879" s="31" t="s">
        <v>451</v>
      </c>
      <c r="X2879" s="16">
        <f t="shared" si="444"/>
        <v>70000</v>
      </c>
      <c r="Y2879" s="16">
        <f t="shared" si="445"/>
        <v>0</v>
      </c>
    </row>
    <row r="2880" spans="1:25" s="739" customFormat="1" ht="22.5" customHeight="1">
      <c r="B2880" s="263"/>
      <c r="C2880" s="77"/>
      <c r="D2880" s="78"/>
      <c r="E2880" s="182"/>
      <c r="F2880" s="212"/>
      <c r="G2880" s="1103"/>
      <c r="H2880" s="105"/>
      <c r="I2880" s="105"/>
      <c r="J2880" s="79"/>
      <c r="K2880" s="74"/>
      <c r="L2880" s="74"/>
      <c r="M2880" s="74"/>
      <c r="N2880" s="74"/>
      <c r="O2880" s="166"/>
      <c r="P2880" s="1151"/>
      <c r="Q2880" s="216"/>
      <c r="R2880" s="216"/>
      <c r="S2880" s="877"/>
      <c r="T2880" s="877"/>
      <c r="U2880" s="877"/>
      <c r="V2880" s="38"/>
      <c r="X2880" s="16">
        <f t="shared" si="444"/>
        <v>0</v>
      </c>
      <c r="Y2880" s="16">
        <f t="shared" si="445"/>
        <v>0</v>
      </c>
    </row>
    <row r="2881" spans="1:65" s="42" customFormat="1" ht="15">
      <c r="A2881" s="915" t="s">
        <v>4614</v>
      </c>
      <c r="B2881" s="910" t="s">
        <v>929</v>
      </c>
      <c r="C2881" s="911"/>
      <c r="D2881" s="912"/>
      <c r="E2881" s="906"/>
      <c r="F2881" s="872"/>
      <c r="G2881" s="8"/>
      <c r="H2881" s="810"/>
      <c r="I2881" s="913">
        <v>750000</v>
      </c>
      <c r="J2881" s="914">
        <f>J2882</f>
        <v>0</v>
      </c>
      <c r="K2881" s="914">
        <f t="shared" ref="K2881:L2881" si="449">K2882</f>
        <v>546750</v>
      </c>
      <c r="L2881" s="914">
        <f t="shared" si="449"/>
        <v>0</v>
      </c>
      <c r="M2881" s="914">
        <f>SUM(M2882:M2884)</f>
        <v>750000</v>
      </c>
      <c r="N2881" s="810"/>
      <c r="O2881" s="815"/>
      <c r="P2881" s="179" t="s">
        <v>102</v>
      </c>
      <c r="Q2881" s="914">
        <f t="shared" ref="Q2881:R2881" si="450">SUM(Q2882:Q2884)</f>
        <v>750000</v>
      </c>
      <c r="R2881" s="914">
        <f t="shared" si="450"/>
        <v>750000</v>
      </c>
      <c r="S2881" s="933"/>
      <c r="T2881" s="933"/>
      <c r="U2881" s="933"/>
      <c r="W2881" s="42" t="s">
        <v>930</v>
      </c>
      <c r="X2881" s="16">
        <f>SUM(J2881:L2881)</f>
        <v>546750</v>
      </c>
      <c r="Y2881" s="16">
        <f t="shared" si="445"/>
        <v>-203250</v>
      </c>
    </row>
    <row r="2882" spans="1:65" s="42" customFormat="1" ht="15">
      <c r="A2882" s="740"/>
      <c r="B2882" s="156" t="s">
        <v>931</v>
      </c>
      <c r="C2882" s="649" t="s">
        <v>932</v>
      </c>
      <c r="D2882" s="444">
        <v>40899</v>
      </c>
      <c r="E2882" s="647"/>
      <c r="F2882" s="443" t="s">
        <v>361</v>
      </c>
      <c r="H2882" s="283"/>
      <c r="I2882" s="283"/>
      <c r="J2882" s="445"/>
      <c r="K2882" s="283">
        <v>546750</v>
      </c>
      <c r="L2882" s="283"/>
      <c r="M2882" s="283">
        <f>SUM(K2882:L2882)</f>
        <v>546750</v>
      </c>
      <c r="N2882" s="283"/>
      <c r="O2882" s="815"/>
      <c r="P2882" s="164"/>
      <c r="Q2882" s="351">
        <v>546750</v>
      </c>
      <c r="R2882" s="351">
        <v>546750</v>
      </c>
      <c r="S2882" s="933"/>
      <c r="T2882" s="933"/>
      <c r="U2882" s="933"/>
      <c r="X2882" s="16">
        <f>SUM(J2882:L2882)</f>
        <v>546750</v>
      </c>
      <c r="Y2882" s="16">
        <f t="shared" si="445"/>
        <v>0</v>
      </c>
    </row>
    <row r="2883" spans="1:65" s="709" customFormat="1" ht="16.5">
      <c r="A2883" s="741"/>
      <c r="B2883" s="545" t="s">
        <v>314</v>
      </c>
      <c r="C2883" s="164" t="s">
        <v>2532</v>
      </c>
      <c r="D2883" s="444">
        <v>40938</v>
      </c>
      <c r="E2883" s="647"/>
      <c r="F2883" s="42" t="s">
        <v>2531</v>
      </c>
      <c r="G2883" s="42"/>
      <c r="H2883" s="283"/>
      <c r="I2883" s="283"/>
      <c r="J2883" s="42"/>
      <c r="K2883" s="283">
        <v>49250</v>
      </c>
      <c r="L2883" s="283"/>
      <c r="M2883" s="283">
        <f t="shared" ref="M2883:M2884" si="451">SUM(K2883:L2883)</f>
        <v>49250</v>
      </c>
      <c r="N2883" s="283"/>
      <c r="O2883" s="815"/>
      <c r="P2883" s="164" t="s">
        <v>103</v>
      </c>
      <c r="Q2883" s="524">
        <v>49250</v>
      </c>
      <c r="R2883" s="524">
        <v>49250</v>
      </c>
      <c r="S2883" s="933"/>
      <c r="T2883" s="933"/>
      <c r="U2883" s="933"/>
      <c r="V2883" s="532"/>
      <c r="W2883" s="42" t="s">
        <v>930</v>
      </c>
      <c r="X2883" s="16">
        <f t="shared" ref="X2883:X2884" si="452">SUM(J2883:L2883)</f>
        <v>49250</v>
      </c>
      <c r="Y2883" s="16">
        <f t="shared" si="445"/>
        <v>0</v>
      </c>
    </row>
    <row r="2884" spans="1:65" s="709" customFormat="1" ht="16.5">
      <c r="A2884" s="741"/>
      <c r="B2884" s="545" t="s">
        <v>314</v>
      </c>
      <c r="C2884" s="164" t="s">
        <v>2533</v>
      </c>
      <c r="D2884" s="444">
        <v>40938</v>
      </c>
      <c r="E2884" s="647"/>
      <c r="F2884" s="42" t="s">
        <v>2531</v>
      </c>
      <c r="G2884" s="42"/>
      <c r="H2884" s="283"/>
      <c r="I2884" s="283"/>
      <c r="J2884" s="42"/>
      <c r="K2884" s="283">
        <v>154000</v>
      </c>
      <c r="L2884" s="283"/>
      <c r="M2884" s="283">
        <f t="shared" si="451"/>
        <v>154000</v>
      </c>
      <c r="N2884" s="283"/>
      <c r="O2884" s="815"/>
      <c r="P2884" s="164" t="s">
        <v>103</v>
      </c>
      <c r="Q2884" s="524">
        <v>154000</v>
      </c>
      <c r="R2884" s="524">
        <v>154000</v>
      </c>
      <c r="S2884" s="933"/>
      <c r="T2884" s="933"/>
      <c r="U2884" s="933"/>
      <c r="V2884" s="532"/>
      <c r="W2884" s="42" t="s">
        <v>930</v>
      </c>
      <c r="X2884" s="16">
        <f t="shared" si="452"/>
        <v>154000</v>
      </c>
      <c r="Y2884" s="16">
        <f t="shared" si="445"/>
        <v>0</v>
      </c>
    </row>
    <row r="2885" spans="1:65" s="707" customFormat="1" ht="15">
      <c r="A2885" s="747"/>
      <c r="B2885" s="446"/>
      <c r="C2885" s="649"/>
      <c r="D2885" s="444"/>
      <c r="E2885" s="647"/>
      <c r="F2885" s="42"/>
      <c r="G2885" s="42"/>
      <c r="H2885" s="283"/>
      <c r="I2885" s="283"/>
      <c r="J2885" s="445"/>
      <c r="K2885" s="283"/>
      <c r="L2885" s="283"/>
      <c r="M2885" s="283"/>
      <c r="N2885" s="283"/>
      <c r="O2885" s="193"/>
      <c r="P2885" s="774"/>
      <c r="Q2885" s="351"/>
      <c r="R2885" s="351"/>
      <c r="S2885" s="933"/>
      <c r="T2885" s="933"/>
      <c r="U2885" s="933"/>
      <c r="V2885" s="353"/>
      <c r="W2885" s="353"/>
      <c r="X2885" s="16">
        <f>SUM(J2885:L2885)</f>
        <v>0</v>
      </c>
      <c r="Y2885" s="16">
        <f t="shared" si="445"/>
        <v>0</v>
      </c>
      <c r="Z2885" s="353"/>
      <c r="AA2885" s="353"/>
      <c r="AB2885" s="353"/>
      <c r="AC2885" s="353"/>
      <c r="AD2885" s="353"/>
      <c r="AE2885" s="353"/>
      <c r="AF2885" s="353"/>
      <c r="AG2885" s="353"/>
      <c r="AH2885" s="353"/>
      <c r="AI2885" s="353"/>
      <c r="AJ2885" s="353"/>
      <c r="AK2885" s="353"/>
      <c r="AL2885" s="353"/>
      <c r="AM2885" s="353"/>
      <c r="AN2885" s="353"/>
      <c r="AO2885" s="353"/>
      <c r="AP2885" s="353"/>
      <c r="AQ2885" s="353"/>
      <c r="AR2885" s="353"/>
      <c r="AS2885" s="353"/>
      <c r="AT2885" s="353"/>
      <c r="AU2885" s="353"/>
      <c r="AV2885" s="353"/>
      <c r="AW2885" s="353"/>
      <c r="AX2885" s="353"/>
      <c r="AY2885" s="353"/>
      <c r="AZ2885" s="353"/>
      <c r="BA2885" s="353"/>
      <c r="BB2885" s="353"/>
      <c r="BC2885" s="353"/>
      <c r="BD2885" s="353"/>
      <c r="BE2885" s="353"/>
      <c r="BF2885" s="353"/>
      <c r="BG2885" s="353"/>
      <c r="BH2885" s="353"/>
      <c r="BI2885" s="353"/>
      <c r="BJ2885" s="353"/>
      <c r="BK2885" s="353"/>
      <c r="BL2885" s="353"/>
      <c r="BM2885" s="353"/>
    </row>
    <row r="2886" spans="1:65" s="39" customFormat="1" ht="15.95" customHeight="1">
      <c r="B2886" s="646"/>
      <c r="C2886" s="108"/>
      <c r="D2886" s="527"/>
      <c r="E2886" s="647"/>
      <c r="F2886" s="12"/>
      <c r="G2886" s="101"/>
      <c r="H2886" s="93"/>
      <c r="I2886" s="93"/>
      <c r="J2886" s="35"/>
      <c r="K2886" s="21"/>
      <c r="L2886" s="35"/>
      <c r="M2886" s="22"/>
      <c r="N2886" s="35"/>
      <c r="O2886" s="23"/>
      <c r="P2886" s="1137"/>
      <c r="Q2886" s="216"/>
      <c r="R2886" s="216"/>
      <c r="S2886" s="877"/>
      <c r="T2886" s="877"/>
      <c r="U2886" s="877"/>
      <c r="V2886" s="22"/>
      <c r="X2886" s="16"/>
      <c r="Y2886" s="16"/>
    </row>
    <row r="2887" spans="1:65" s="39" customFormat="1" ht="20.100000000000001" customHeight="1" thickBot="1">
      <c r="B2887" s="35" t="s">
        <v>2785</v>
      </c>
      <c r="C2887" s="166"/>
      <c r="D2887" s="391"/>
      <c r="E2887" s="23"/>
      <c r="F2887" s="38"/>
      <c r="G2887" s="38"/>
      <c r="H2887" s="38"/>
      <c r="I2887" s="736">
        <f>I9+I54</f>
        <v>72118854</v>
      </c>
      <c r="J2887" s="736" t="e">
        <f>J9+J54</f>
        <v>#REF!</v>
      </c>
      <c r="K2887" s="736" t="e">
        <f>K9+K54</f>
        <v>#REF!</v>
      </c>
      <c r="L2887" s="736" t="e">
        <f>L9+L54</f>
        <v>#REF!</v>
      </c>
      <c r="M2887" s="736">
        <f>M9+M54</f>
        <v>67386779.463</v>
      </c>
      <c r="N2887" s="38"/>
      <c r="O2887" s="23"/>
      <c r="P2887" s="166"/>
      <c r="Q2887" s="736">
        <f>Q9+Q54</f>
        <v>55114547.64948</v>
      </c>
      <c r="R2887" s="736">
        <f>R9+R54</f>
        <v>45988346.791040003</v>
      </c>
      <c r="S2887" s="877"/>
      <c r="T2887" s="877"/>
      <c r="U2887" s="877"/>
      <c r="V2887" s="22"/>
      <c r="X2887" s="16" t="e">
        <f t="shared" ref="X2887:X2900" si="453">SUM(J2887:L2887)</f>
        <v>#REF!</v>
      </c>
      <c r="Y2887" s="16" t="e">
        <f t="shared" ref="Y2887:Y2918" si="454">X2887-M2887</f>
        <v>#REF!</v>
      </c>
    </row>
    <row r="2888" spans="1:65" s="39" customFormat="1" ht="15.95" customHeight="1" thickTop="1">
      <c r="B2888" s="21"/>
      <c r="C2888" s="23"/>
      <c r="D2888" s="380"/>
      <c r="E2888" s="23"/>
      <c r="F2888" s="22"/>
      <c r="G2888" s="22"/>
      <c r="H2888" s="22"/>
      <c r="I2888" s="22"/>
      <c r="J2888" s="22"/>
      <c r="K2888" s="22"/>
      <c r="L2888" s="22"/>
      <c r="M2888" s="22"/>
      <c r="N2888" s="22"/>
      <c r="O2888" s="23"/>
      <c r="P2888" s="23"/>
      <c r="Q2888" s="216"/>
      <c r="R2888" s="216"/>
      <c r="S2888" s="877"/>
      <c r="T2888" s="877"/>
      <c r="U2888" s="877"/>
      <c r="V2888" s="22"/>
      <c r="X2888" s="16">
        <f t="shared" si="453"/>
        <v>0</v>
      </c>
      <c r="Y2888" s="16">
        <f t="shared" si="454"/>
        <v>0</v>
      </c>
    </row>
    <row r="2889" spans="1:65" s="39" customFormat="1" ht="15.95" customHeight="1">
      <c r="B2889" s="21"/>
      <c r="C2889" s="23"/>
      <c r="D2889" s="380"/>
      <c r="E2889" s="23"/>
      <c r="F2889" s="22"/>
      <c r="G2889" s="22"/>
      <c r="H2889" s="22"/>
      <c r="I2889" s="22"/>
      <c r="J2889" s="22"/>
      <c r="K2889" s="22" t="e">
        <f>K2887-39518937</f>
        <v>#REF!</v>
      </c>
      <c r="L2889" s="22" t="e">
        <f>L2887-28503344</f>
        <v>#REF!</v>
      </c>
      <c r="M2889" s="22">
        <f>M2887-68022280</f>
        <v>-635500.53700000048</v>
      </c>
      <c r="N2889" s="22"/>
      <c r="O2889" s="23"/>
      <c r="P2889" s="23"/>
      <c r="Q2889" s="216"/>
      <c r="R2889" s="216"/>
      <c r="S2889" s="877"/>
      <c r="T2889" s="877"/>
      <c r="U2889" s="877"/>
      <c r="V2889" s="22"/>
      <c r="X2889" s="16" t="e">
        <f t="shared" si="453"/>
        <v>#REF!</v>
      </c>
      <c r="Y2889" s="16" t="e">
        <f t="shared" si="454"/>
        <v>#REF!</v>
      </c>
    </row>
    <row r="2890" spans="1:65" s="39" customFormat="1" ht="15.95" customHeight="1">
      <c r="B2890" s="21"/>
      <c r="C2890" s="23"/>
      <c r="D2890" s="380"/>
      <c r="E2890" s="23"/>
      <c r="F2890" s="22"/>
      <c r="G2890" s="22"/>
      <c r="H2890" s="22"/>
      <c r="I2890" s="22"/>
      <c r="J2890" s="22"/>
      <c r="K2890" s="22"/>
      <c r="L2890" s="22">
        <f>54480250</f>
        <v>54480250</v>
      </c>
      <c r="M2890" s="22"/>
      <c r="N2890" s="22"/>
      <c r="O2890" s="23"/>
      <c r="P2890" s="23"/>
      <c r="Q2890" s="216"/>
      <c r="R2890" s="216"/>
      <c r="S2890" s="877"/>
      <c r="T2890" s="877"/>
      <c r="U2890" s="877"/>
      <c r="V2890" s="22"/>
      <c r="X2890" s="16">
        <f t="shared" si="453"/>
        <v>54480250</v>
      </c>
      <c r="Y2890" s="16">
        <f t="shared" si="454"/>
        <v>54480250</v>
      </c>
    </row>
    <row r="2891" spans="1:65" s="39" customFormat="1" ht="15.95" customHeight="1">
      <c r="B2891" s="21"/>
      <c r="C2891" s="23" t="s">
        <v>4530</v>
      </c>
      <c r="D2891" s="380"/>
      <c r="E2891" s="23"/>
      <c r="F2891" s="22"/>
      <c r="G2891" s="22"/>
      <c r="H2891" s="22"/>
      <c r="I2891" s="22">
        <f>M2887</f>
        <v>67386779.463</v>
      </c>
      <c r="J2891" s="22"/>
      <c r="K2891" s="22"/>
      <c r="L2891" s="22">
        <v>13242030</v>
      </c>
      <c r="M2891" s="22"/>
      <c r="N2891" s="22"/>
      <c r="O2891" s="23"/>
      <c r="P2891" s="23"/>
      <c r="Q2891" s="216"/>
      <c r="R2891" s="216"/>
      <c r="S2891" s="877"/>
      <c r="T2891" s="877"/>
      <c r="U2891" s="877"/>
      <c r="V2891" s="22"/>
      <c r="X2891" s="16">
        <f t="shared" si="453"/>
        <v>13242030</v>
      </c>
      <c r="Y2891" s="16">
        <f t="shared" si="454"/>
        <v>13242030</v>
      </c>
    </row>
    <row r="2892" spans="1:65" s="39" customFormat="1" ht="15.95" customHeight="1">
      <c r="B2892" s="21"/>
      <c r="C2892" s="23" t="s">
        <v>4531</v>
      </c>
      <c r="D2892" s="22">
        <v>70000</v>
      </c>
      <c r="E2892" s="23"/>
      <c r="F2892" s="22"/>
      <c r="G2892" s="22"/>
      <c r="H2892" s="22"/>
      <c r="I2892" s="22">
        <v>67386780</v>
      </c>
      <c r="J2892" s="22"/>
      <c r="K2892" s="22"/>
      <c r="L2892" s="554">
        <f>L2891+L2890</f>
        <v>67722280</v>
      </c>
      <c r="M2892" s="555">
        <f>L2892-M2887</f>
        <v>335500.53700000048</v>
      </c>
      <c r="N2892" s="555"/>
      <c r="O2892" s="776"/>
      <c r="P2892" s="776"/>
      <c r="Q2892" s="216"/>
      <c r="R2892" s="216"/>
      <c r="S2892" s="877"/>
      <c r="T2892" s="877"/>
      <c r="U2892" s="877"/>
      <c r="V2892" s="22"/>
      <c r="X2892" s="16">
        <f t="shared" si="453"/>
        <v>67722280</v>
      </c>
      <c r="Y2892" s="16">
        <f t="shared" si="454"/>
        <v>67386779.463</v>
      </c>
    </row>
    <row r="2893" spans="1:65" s="39" customFormat="1" ht="15.95" customHeight="1">
      <c r="B2893" s="21"/>
      <c r="C2893" s="23"/>
      <c r="D2893" s="22">
        <v>55000</v>
      </c>
      <c r="E2893" s="23"/>
      <c r="F2893" s="22"/>
      <c r="G2893" s="22"/>
      <c r="H2893" s="22"/>
      <c r="I2893" s="22">
        <f>I2891-I2892</f>
        <v>-0.53700000047683716</v>
      </c>
      <c r="J2893" s="22"/>
      <c r="K2893" s="22"/>
      <c r="L2893" s="22"/>
      <c r="M2893" s="22"/>
      <c r="N2893" s="22"/>
      <c r="O2893" s="23"/>
      <c r="P2893" s="23"/>
      <c r="Q2893" s="216"/>
      <c r="R2893" s="216"/>
      <c r="S2893" s="877"/>
      <c r="T2893" s="877"/>
      <c r="U2893" s="877"/>
      <c r="V2893" s="22"/>
      <c r="X2893" s="16">
        <f t="shared" si="453"/>
        <v>0</v>
      </c>
      <c r="Y2893" s="16">
        <f t="shared" si="454"/>
        <v>0</v>
      </c>
    </row>
    <row r="2894" spans="1:65" s="39" customFormat="1" ht="15.95" customHeight="1">
      <c r="B2894" s="21"/>
      <c r="C2894" s="23"/>
      <c r="D2894" s="22">
        <v>50000</v>
      </c>
      <c r="E2894" s="23"/>
      <c r="F2894" s="22"/>
      <c r="G2894" s="22"/>
      <c r="H2894" s="22"/>
      <c r="I2894" s="22"/>
      <c r="J2894" s="22"/>
      <c r="K2894" s="22"/>
      <c r="L2894" s="22"/>
      <c r="M2894" s="22"/>
      <c r="N2894" s="22"/>
      <c r="O2894" s="23"/>
      <c r="P2894" s="23"/>
      <c r="Q2894" s="216"/>
      <c r="R2894" s="216"/>
      <c r="S2894" s="877"/>
      <c r="T2894" s="877"/>
      <c r="U2894" s="877"/>
      <c r="V2894" s="22"/>
      <c r="X2894" s="16">
        <f t="shared" si="453"/>
        <v>0</v>
      </c>
      <c r="Y2894" s="16">
        <f t="shared" si="454"/>
        <v>0</v>
      </c>
    </row>
    <row r="2895" spans="1:65" s="39" customFormat="1" ht="15.95" customHeight="1">
      <c r="B2895" s="21"/>
      <c r="C2895" s="23"/>
      <c r="D2895" s="38">
        <f>SUM(D2892:D2894)</f>
        <v>175000</v>
      </c>
      <c r="E2895" s="23"/>
      <c r="F2895" s="22"/>
      <c r="G2895" s="22"/>
      <c r="H2895" s="22"/>
      <c r="I2895" s="22">
        <v>72119554</v>
      </c>
      <c r="J2895" s="22"/>
      <c r="K2895" s="22"/>
      <c r="L2895" s="22"/>
      <c r="M2895" s="22"/>
      <c r="N2895" s="22"/>
      <c r="O2895" s="23"/>
      <c r="P2895" s="23"/>
      <c r="Q2895" s="216"/>
      <c r="R2895" s="216"/>
      <c r="S2895" s="877"/>
      <c r="T2895" s="877"/>
      <c r="U2895" s="877"/>
      <c r="V2895" s="22"/>
      <c r="X2895" s="16">
        <f t="shared" si="453"/>
        <v>0</v>
      </c>
      <c r="Y2895" s="16">
        <f t="shared" si="454"/>
        <v>0</v>
      </c>
    </row>
    <row r="2896" spans="1:65" s="39" customFormat="1" ht="15.95" customHeight="1">
      <c r="B2896" s="21"/>
      <c r="C2896" s="23"/>
      <c r="D2896" s="380"/>
      <c r="E2896" s="23"/>
      <c r="F2896" s="22"/>
      <c r="G2896" s="22"/>
      <c r="H2896" s="22"/>
      <c r="I2896" s="22">
        <f>I2895-I2887</f>
        <v>700</v>
      </c>
      <c r="J2896" s="22"/>
      <c r="K2896" s="22"/>
      <c r="L2896" s="22"/>
      <c r="M2896" s="22"/>
      <c r="N2896" s="22"/>
      <c r="O2896" s="23"/>
      <c r="P2896" s="23"/>
      <c r="Q2896" s="216"/>
      <c r="R2896" s="216"/>
      <c r="S2896" s="877"/>
      <c r="T2896" s="877"/>
      <c r="U2896" s="877"/>
      <c r="V2896" s="22"/>
      <c r="X2896" s="16">
        <f t="shared" si="453"/>
        <v>0</v>
      </c>
      <c r="Y2896" s="16">
        <f t="shared" si="454"/>
        <v>0</v>
      </c>
    </row>
    <row r="2897" spans="2:25" s="39" customFormat="1" ht="15.95" customHeight="1">
      <c r="B2897" s="21"/>
      <c r="C2897" s="23"/>
      <c r="D2897" s="380"/>
      <c r="E2897" s="23"/>
      <c r="F2897" s="22"/>
      <c r="G2897" s="22"/>
      <c r="H2897" s="22"/>
      <c r="I2897" s="22"/>
      <c r="J2897" s="22"/>
      <c r="K2897" s="22"/>
      <c r="L2897" s="22"/>
      <c r="M2897" s="22"/>
      <c r="N2897" s="22"/>
      <c r="O2897" s="23"/>
      <c r="P2897" s="23"/>
      <c r="Q2897" s="216"/>
      <c r="R2897" s="216"/>
      <c r="S2897" s="877"/>
      <c r="T2897" s="877"/>
      <c r="U2897" s="877"/>
      <c r="V2897" s="22"/>
      <c r="X2897" s="16">
        <f t="shared" si="453"/>
        <v>0</v>
      </c>
      <c r="Y2897" s="16">
        <f t="shared" si="454"/>
        <v>0</v>
      </c>
    </row>
    <row r="2898" spans="2:25" s="39" customFormat="1" ht="15.95" customHeight="1">
      <c r="B2898" s="21"/>
      <c r="C2898" s="23"/>
      <c r="D2898" s="380"/>
      <c r="E2898" s="23"/>
      <c r="F2898" s="22"/>
      <c r="G2898" s="22"/>
      <c r="H2898" s="22"/>
      <c r="I2898" s="22"/>
      <c r="J2898" s="22"/>
      <c r="K2898" s="22"/>
      <c r="L2898" s="22"/>
      <c r="M2898" s="22"/>
      <c r="N2898" s="22"/>
      <c r="O2898" s="23"/>
      <c r="P2898" s="23"/>
      <c r="Q2898" s="216"/>
      <c r="R2898" s="216"/>
      <c r="S2898" s="877"/>
      <c r="T2898" s="877"/>
      <c r="U2898" s="877"/>
      <c r="V2898" s="22"/>
      <c r="X2898" s="16">
        <f t="shared" si="453"/>
        <v>0</v>
      </c>
      <c r="Y2898" s="16">
        <f t="shared" si="454"/>
        <v>0</v>
      </c>
    </row>
    <row r="2899" spans="2:25" s="39" customFormat="1" ht="15.95" customHeight="1">
      <c r="B2899" s="21"/>
      <c r="C2899" s="23"/>
      <c r="D2899" s="380"/>
      <c r="E2899" s="23"/>
      <c r="F2899" s="22"/>
      <c r="G2899" s="22"/>
      <c r="H2899" s="22"/>
      <c r="I2899" s="521">
        <v>72119554</v>
      </c>
      <c r="J2899" s="521">
        <v>0</v>
      </c>
      <c r="K2899" s="521">
        <v>39218935.938000001</v>
      </c>
      <c r="L2899" s="521">
        <v>28503343.524999999</v>
      </c>
      <c r="M2899" s="521">
        <v>67722279.463</v>
      </c>
      <c r="N2899" s="22"/>
      <c r="O2899" s="23"/>
      <c r="P2899" s="23"/>
      <c r="Q2899" s="216"/>
      <c r="R2899" s="216"/>
      <c r="S2899" s="877"/>
      <c r="T2899" s="877"/>
      <c r="U2899" s="877"/>
      <c r="V2899" s="22"/>
      <c r="X2899" s="16">
        <f t="shared" si="453"/>
        <v>67722279.463</v>
      </c>
      <c r="Y2899" s="16">
        <f t="shared" si="454"/>
        <v>0</v>
      </c>
    </row>
    <row r="2900" spans="2:25" s="39" customFormat="1" ht="15.95" customHeight="1">
      <c r="B2900" s="21"/>
      <c r="C2900" s="23"/>
      <c r="D2900" s="380"/>
      <c r="E2900" s="23"/>
      <c r="F2900" s="22"/>
      <c r="G2900" s="22"/>
      <c r="H2900" s="22"/>
      <c r="I2900" s="22"/>
      <c r="J2900" s="22"/>
      <c r="K2900" s="22"/>
      <c r="L2900" s="22"/>
      <c r="M2900" s="22"/>
      <c r="N2900" s="22"/>
      <c r="O2900" s="23"/>
      <c r="P2900" s="23"/>
      <c r="Q2900" s="216"/>
      <c r="R2900" s="216"/>
      <c r="S2900" s="877"/>
      <c r="T2900" s="877"/>
      <c r="U2900" s="877"/>
      <c r="V2900" s="22"/>
      <c r="X2900" s="16">
        <f t="shared" si="453"/>
        <v>0</v>
      </c>
      <c r="Y2900" s="16">
        <f t="shared" si="454"/>
        <v>0</v>
      </c>
    </row>
    <row r="2901" spans="2:25" s="39" customFormat="1" ht="15.95" customHeight="1">
      <c r="B2901" s="21"/>
      <c r="C2901" s="23"/>
      <c r="D2901" s="380"/>
      <c r="E2901" s="23"/>
      <c r="F2901" s="22"/>
      <c r="G2901" s="22"/>
      <c r="H2901" s="22"/>
      <c r="I2901" s="22">
        <f>I2899-I2887</f>
        <v>700</v>
      </c>
      <c r="J2901" s="22" t="e">
        <f t="shared" ref="J2901:M2901" si="455">J2899-J2887</f>
        <v>#REF!</v>
      </c>
      <c r="K2901" s="22" t="e">
        <f t="shared" si="455"/>
        <v>#REF!</v>
      </c>
      <c r="L2901" s="22" t="e">
        <f t="shared" si="455"/>
        <v>#REF!</v>
      </c>
      <c r="M2901" s="22">
        <f t="shared" si="455"/>
        <v>335500</v>
      </c>
      <c r="N2901" s="22"/>
      <c r="O2901" s="23"/>
      <c r="P2901" s="23"/>
      <c r="Q2901" s="216"/>
      <c r="R2901" s="216"/>
      <c r="S2901" s="877"/>
      <c r="T2901" s="877"/>
      <c r="U2901" s="877"/>
      <c r="V2901" s="22"/>
      <c r="X2901" s="16" t="e">
        <f t="shared" ref="X2901:X2964" si="456">SUM(J2901:L2901)</f>
        <v>#REF!</v>
      </c>
      <c r="Y2901" s="16" t="e">
        <f t="shared" si="454"/>
        <v>#REF!</v>
      </c>
    </row>
    <row r="2902" spans="2:25" s="39" customFormat="1" ht="15.95" customHeight="1">
      <c r="B2902" s="21"/>
      <c r="C2902" s="23"/>
      <c r="D2902" s="380"/>
      <c r="E2902" s="23"/>
      <c r="F2902" s="22"/>
      <c r="G2902" s="22"/>
      <c r="H2902" s="22"/>
      <c r="I2902" s="22"/>
      <c r="J2902" s="22"/>
      <c r="K2902" s="22"/>
      <c r="L2902" s="22"/>
      <c r="M2902" s="22"/>
      <c r="N2902" s="22"/>
      <c r="O2902" s="23"/>
      <c r="P2902" s="23"/>
      <c r="Q2902" s="216"/>
      <c r="R2902" s="216"/>
      <c r="S2902" s="877"/>
      <c r="T2902" s="877"/>
      <c r="U2902" s="877"/>
      <c r="V2902" s="22"/>
      <c r="X2902" s="16">
        <f t="shared" si="456"/>
        <v>0</v>
      </c>
      <c r="Y2902" s="16">
        <f t="shared" si="454"/>
        <v>0</v>
      </c>
    </row>
    <row r="2903" spans="2:25" s="39" customFormat="1" ht="15.95" customHeight="1">
      <c r="B2903" s="21"/>
      <c r="C2903" s="23"/>
      <c r="D2903" s="380"/>
      <c r="E2903" s="23"/>
      <c r="F2903" s="22"/>
      <c r="G2903" s="22"/>
      <c r="H2903" s="22"/>
      <c r="I2903" s="22"/>
      <c r="J2903" s="22"/>
      <c r="K2903" s="22"/>
      <c r="L2903" s="22"/>
      <c r="M2903" s="22">
        <v>67722279.463</v>
      </c>
      <c r="N2903" s="22"/>
      <c r="O2903" s="23"/>
      <c r="P2903" s="23"/>
      <c r="Q2903" s="216"/>
      <c r="R2903" s="216"/>
      <c r="S2903" s="877"/>
      <c r="T2903" s="877"/>
      <c r="U2903" s="877"/>
      <c r="V2903" s="22"/>
      <c r="X2903" s="16">
        <f t="shared" si="456"/>
        <v>0</v>
      </c>
      <c r="Y2903" s="16">
        <f t="shared" si="454"/>
        <v>-67722279.463</v>
      </c>
    </row>
    <row r="2904" spans="2:25" s="39" customFormat="1" ht="15.95" customHeight="1">
      <c r="B2904" s="21"/>
      <c r="C2904" s="23"/>
      <c r="D2904" s="380"/>
      <c r="E2904" s="23"/>
      <c r="F2904" s="22"/>
      <c r="G2904" s="22"/>
      <c r="H2904" s="22"/>
      <c r="I2904" s="22"/>
      <c r="J2904" s="22"/>
      <c r="K2904" s="22"/>
      <c r="L2904" s="22"/>
      <c r="M2904" s="22">
        <f>M2903-M2887</f>
        <v>335500</v>
      </c>
      <c r="N2904" s="22"/>
      <c r="O2904" s="23"/>
      <c r="P2904" s="23"/>
      <c r="Q2904" s="216"/>
      <c r="R2904" s="216"/>
      <c r="S2904" s="877"/>
      <c r="T2904" s="877"/>
      <c r="U2904" s="877"/>
      <c r="V2904" s="22"/>
      <c r="X2904" s="16">
        <f t="shared" si="456"/>
        <v>0</v>
      </c>
      <c r="Y2904" s="16">
        <f t="shared" si="454"/>
        <v>-335500</v>
      </c>
    </row>
    <row r="2905" spans="2:25" s="39" customFormat="1" ht="15.95" customHeight="1">
      <c r="B2905" s="21"/>
      <c r="C2905" s="23"/>
      <c r="D2905" s="380"/>
      <c r="E2905" s="23"/>
      <c r="F2905" s="22"/>
      <c r="G2905" s="22"/>
      <c r="H2905" s="22"/>
      <c r="I2905" s="22"/>
      <c r="J2905" s="22"/>
      <c r="K2905" s="22"/>
      <c r="L2905" s="22"/>
      <c r="M2905" s="22"/>
      <c r="N2905" s="22"/>
      <c r="O2905" s="23"/>
      <c r="P2905" s="23"/>
      <c r="Q2905" s="216"/>
      <c r="R2905" s="216"/>
      <c r="S2905" s="877"/>
      <c r="T2905" s="877"/>
      <c r="U2905" s="877"/>
      <c r="V2905" s="22"/>
      <c r="X2905" s="16">
        <f t="shared" si="456"/>
        <v>0</v>
      </c>
      <c r="Y2905" s="16">
        <f t="shared" si="454"/>
        <v>0</v>
      </c>
    </row>
    <row r="2906" spans="2:25" s="39" customFormat="1" ht="15.95" customHeight="1">
      <c r="B2906" s="21"/>
      <c r="C2906" s="23"/>
      <c r="D2906" s="380"/>
      <c r="E2906" s="23"/>
      <c r="F2906" s="22"/>
      <c r="G2906" s="22"/>
      <c r="H2906" s="22"/>
      <c r="I2906" s="22"/>
      <c r="J2906" s="22"/>
      <c r="K2906" s="22"/>
      <c r="L2906" s="22"/>
      <c r="M2906" s="22"/>
      <c r="N2906" s="22"/>
      <c r="O2906" s="23"/>
      <c r="P2906" s="23"/>
      <c r="Q2906" s="216"/>
      <c r="R2906" s="216"/>
      <c r="S2906" s="877"/>
      <c r="T2906" s="877"/>
      <c r="U2906" s="877"/>
      <c r="V2906" s="22"/>
      <c r="X2906" s="16">
        <f t="shared" si="456"/>
        <v>0</v>
      </c>
      <c r="Y2906" s="16">
        <f t="shared" si="454"/>
        <v>0</v>
      </c>
    </row>
    <row r="2907" spans="2:25" s="39" customFormat="1" ht="15.95" customHeight="1">
      <c r="B2907" s="21"/>
      <c r="C2907" s="23"/>
      <c r="D2907" s="380"/>
      <c r="E2907" s="23"/>
      <c r="F2907" s="22"/>
      <c r="G2907" s="22"/>
      <c r="H2907" s="22"/>
      <c r="I2907" s="22"/>
      <c r="J2907" s="22"/>
      <c r="K2907" s="22"/>
      <c r="L2907" s="22"/>
      <c r="M2907" s="22"/>
      <c r="N2907" s="22"/>
      <c r="O2907" s="23"/>
      <c r="P2907" s="23"/>
      <c r="Q2907" s="216"/>
      <c r="R2907" s="216"/>
      <c r="S2907" s="877"/>
      <c r="T2907" s="877"/>
      <c r="U2907" s="877"/>
      <c r="V2907" s="22"/>
      <c r="X2907" s="16">
        <f t="shared" si="456"/>
        <v>0</v>
      </c>
      <c r="Y2907" s="16">
        <f t="shared" si="454"/>
        <v>0</v>
      </c>
    </row>
    <row r="2908" spans="2:25" s="39" customFormat="1" ht="15.95" customHeight="1">
      <c r="B2908" s="21"/>
      <c r="C2908" s="23"/>
      <c r="D2908" s="380"/>
      <c r="E2908" s="23"/>
      <c r="F2908" s="22"/>
      <c r="G2908" s="22"/>
      <c r="H2908" s="22"/>
      <c r="I2908" s="22"/>
      <c r="J2908" s="22"/>
      <c r="K2908" s="22"/>
      <c r="L2908" s="22"/>
      <c r="M2908" s="22"/>
      <c r="N2908" s="22"/>
      <c r="O2908" s="23"/>
      <c r="P2908" s="23"/>
      <c r="Q2908" s="216"/>
      <c r="R2908" s="216"/>
      <c r="S2908" s="877"/>
      <c r="T2908" s="877"/>
      <c r="U2908" s="877"/>
      <c r="V2908" s="22"/>
      <c r="X2908" s="16">
        <f t="shared" si="456"/>
        <v>0</v>
      </c>
      <c r="Y2908" s="16">
        <f t="shared" si="454"/>
        <v>0</v>
      </c>
    </row>
    <row r="2909" spans="2:25" s="39" customFormat="1" ht="15.95" customHeight="1">
      <c r="B2909" s="21"/>
      <c r="C2909" s="23"/>
      <c r="D2909" s="380"/>
      <c r="E2909" s="23"/>
      <c r="F2909" s="22"/>
      <c r="G2909" s="22"/>
      <c r="H2909" s="22"/>
      <c r="I2909" s="22"/>
      <c r="J2909" s="22"/>
      <c r="K2909" s="22"/>
      <c r="L2909" s="22"/>
      <c r="M2909" s="22"/>
      <c r="N2909" s="22"/>
      <c r="O2909" s="23"/>
      <c r="P2909" s="23"/>
      <c r="Q2909" s="216"/>
      <c r="R2909" s="216"/>
      <c r="S2909" s="877"/>
      <c r="T2909" s="877"/>
      <c r="U2909" s="877"/>
      <c r="V2909" s="22"/>
      <c r="X2909" s="16">
        <f t="shared" si="456"/>
        <v>0</v>
      </c>
      <c r="Y2909" s="16">
        <f t="shared" si="454"/>
        <v>0</v>
      </c>
    </row>
    <row r="2910" spans="2:25" s="39" customFormat="1" ht="15.95" customHeight="1">
      <c r="B2910" s="21"/>
      <c r="C2910" s="23"/>
      <c r="D2910" s="380"/>
      <c r="E2910" s="23"/>
      <c r="F2910" s="22"/>
      <c r="G2910" s="22"/>
      <c r="H2910" s="22"/>
      <c r="I2910" s="22"/>
      <c r="J2910" s="22"/>
      <c r="K2910" s="22"/>
      <c r="L2910" s="22"/>
      <c r="M2910" s="22"/>
      <c r="N2910" s="22"/>
      <c r="O2910" s="23"/>
      <c r="P2910" s="23"/>
      <c r="Q2910" s="216"/>
      <c r="R2910" s="216"/>
      <c r="S2910" s="877"/>
      <c r="T2910" s="877"/>
      <c r="U2910" s="877"/>
      <c r="V2910" s="22"/>
      <c r="X2910" s="16">
        <f t="shared" si="456"/>
        <v>0</v>
      </c>
      <c r="Y2910" s="16">
        <f t="shared" si="454"/>
        <v>0</v>
      </c>
    </row>
    <row r="2911" spans="2:25" s="39" customFormat="1" ht="15.95" customHeight="1">
      <c r="B2911" s="21"/>
      <c r="C2911" s="23"/>
      <c r="D2911" s="380"/>
      <c r="E2911" s="23"/>
      <c r="F2911" s="22"/>
      <c r="G2911" s="22"/>
      <c r="H2911" s="22"/>
      <c r="I2911" s="22"/>
      <c r="J2911" s="22"/>
      <c r="K2911" s="22"/>
      <c r="L2911" s="22"/>
      <c r="M2911" s="22"/>
      <c r="N2911" s="22"/>
      <c r="O2911" s="23"/>
      <c r="P2911" s="23"/>
      <c r="Q2911" s="216"/>
      <c r="R2911" s="216"/>
      <c r="S2911" s="877"/>
      <c r="T2911" s="877"/>
      <c r="U2911" s="877"/>
      <c r="V2911" s="22"/>
      <c r="X2911" s="16">
        <f t="shared" si="456"/>
        <v>0</v>
      </c>
      <c r="Y2911" s="16">
        <f t="shared" si="454"/>
        <v>0</v>
      </c>
    </row>
    <row r="2912" spans="2:25" s="39" customFormat="1" ht="15.95" customHeight="1">
      <c r="B2912" s="21"/>
      <c r="C2912" s="23"/>
      <c r="D2912" s="380"/>
      <c r="E2912" s="23"/>
      <c r="F2912" s="22"/>
      <c r="G2912" s="22"/>
      <c r="H2912" s="22"/>
      <c r="I2912" s="22"/>
      <c r="J2912" s="22"/>
      <c r="K2912" s="22"/>
      <c r="L2912" s="22"/>
      <c r="M2912" s="22"/>
      <c r="N2912" s="22"/>
      <c r="O2912" s="23"/>
      <c r="P2912" s="23"/>
      <c r="Q2912" s="216"/>
      <c r="R2912" s="216"/>
      <c r="S2912" s="877"/>
      <c r="T2912" s="877"/>
      <c r="U2912" s="877"/>
      <c r="V2912" s="22"/>
      <c r="X2912" s="16">
        <f t="shared" si="456"/>
        <v>0</v>
      </c>
      <c r="Y2912" s="16">
        <f t="shared" si="454"/>
        <v>0</v>
      </c>
    </row>
    <row r="2913" spans="2:25" s="39" customFormat="1" ht="15.95" customHeight="1">
      <c r="B2913" s="21"/>
      <c r="C2913" s="23"/>
      <c r="D2913" s="380"/>
      <c r="E2913" s="23"/>
      <c r="F2913" s="22"/>
      <c r="G2913" s="22"/>
      <c r="H2913" s="22"/>
      <c r="I2913" s="22"/>
      <c r="J2913" s="22"/>
      <c r="K2913" s="22"/>
      <c r="L2913" s="22"/>
      <c r="M2913" s="22"/>
      <c r="N2913" s="22"/>
      <c r="O2913" s="23"/>
      <c r="P2913" s="23"/>
      <c r="Q2913" s="216"/>
      <c r="R2913" s="216"/>
      <c r="S2913" s="877"/>
      <c r="T2913" s="877"/>
      <c r="U2913" s="877"/>
      <c r="V2913" s="22"/>
      <c r="X2913" s="16">
        <f t="shared" si="456"/>
        <v>0</v>
      </c>
      <c r="Y2913" s="16">
        <f t="shared" si="454"/>
        <v>0</v>
      </c>
    </row>
    <row r="2914" spans="2:25" s="39" customFormat="1" ht="15.95" customHeight="1">
      <c r="B2914" s="21"/>
      <c r="C2914" s="23"/>
      <c r="D2914" s="380"/>
      <c r="E2914" s="23"/>
      <c r="F2914" s="22"/>
      <c r="G2914" s="22"/>
      <c r="H2914" s="22"/>
      <c r="I2914" s="22"/>
      <c r="J2914" s="22"/>
      <c r="K2914" s="22"/>
      <c r="L2914" s="22"/>
      <c r="M2914" s="22"/>
      <c r="N2914" s="22"/>
      <c r="O2914" s="23"/>
      <c r="P2914" s="23"/>
      <c r="Q2914" s="216"/>
      <c r="R2914" s="216"/>
      <c r="S2914" s="877"/>
      <c r="T2914" s="877"/>
      <c r="U2914" s="877"/>
      <c r="V2914" s="22"/>
      <c r="X2914" s="16">
        <f t="shared" si="456"/>
        <v>0</v>
      </c>
      <c r="Y2914" s="16">
        <f t="shared" si="454"/>
        <v>0</v>
      </c>
    </row>
    <row r="2915" spans="2:25" s="39" customFormat="1" ht="15.95" customHeight="1">
      <c r="B2915" s="21"/>
      <c r="C2915" s="23"/>
      <c r="D2915" s="380"/>
      <c r="E2915" s="23"/>
      <c r="F2915" s="22"/>
      <c r="G2915" s="22"/>
      <c r="H2915" s="22"/>
      <c r="I2915" s="22"/>
      <c r="J2915" s="22"/>
      <c r="K2915" s="22"/>
      <c r="L2915" s="22"/>
      <c r="M2915" s="22"/>
      <c r="N2915" s="22"/>
      <c r="O2915" s="23"/>
      <c r="P2915" s="23"/>
      <c r="Q2915" s="216"/>
      <c r="R2915" s="216"/>
      <c r="S2915" s="877"/>
      <c r="T2915" s="877"/>
      <c r="U2915" s="877"/>
      <c r="V2915" s="22"/>
      <c r="X2915" s="16">
        <f t="shared" si="456"/>
        <v>0</v>
      </c>
      <c r="Y2915" s="16">
        <f t="shared" si="454"/>
        <v>0</v>
      </c>
    </row>
    <row r="2916" spans="2:25" s="39" customFormat="1" ht="15.95" customHeight="1">
      <c r="B2916" s="21"/>
      <c r="C2916" s="23"/>
      <c r="D2916" s="380"/>
      <c r="E2916" s="23"/>
      <c r="F2916" s="22"/>
      <c r="G2916" s="22"/>
      <c r="H2916" s="22"/>
      <c r="I2916" s="22"/>
      <c r="J2916" s="22"/>
      <c r="K2916" s="22"/>
      <c r="L2916" s="22"/>
      <c r="M2916" s="22"/>
      <c r="N2916" s="22"/>
      <c r="O2916" s="23"/>
      <c r="P2916" s="23"/>
      <c r="Q2916" s="216"/>
      <c r="R2916" s="216"/>
      <c r="S2916" s="877"/>
      <c r="T2916" s="877"/>
      <c r="U2916" s="877"/>
      <c r="V2916" s="22"/>
      <c r="X2916" s="16">
        <f t="shared" si="456"/>
        <v>0</v>
      </c>
      <c r="Y2916" s="16">
        <f t="shared" si="454"/>
        <v>0</v>
      </c>
    </row>
    <row r="2917" spans="2:25" s="39" customFormat="1" ht="15.95" customHeight="1">
      <c r="B2917" s="21"/>
      <c r="C2917" s="23"/>
      <c r="D2917" s="380"/>
      <c r="E2917" s="23"/>
      <c r="F2917" s="22"/>
      <c r="G2917" s="22"/>
      <c r="H2917" s="22"/>
      <c r="I2917" s="22"/>
      <c r="J2917" s="22"/>
      <c r="K2917" s="22"/>
      <c r="L2917" s="22"/>
      <c r="M2917" s="22"/>
      <c r="N2917" s="22"/>
      <c r="O2917" s="23"/>
      <c r="P2917" s="23"/>
      <c r="Q2917" s="216"/>
      <c r="R2917" s="216"/>
      <c r="S2917" s="877"/>
      <c r="T2917" s="877"/>
      <c r="U2917" s="877"/>
      <c r="V2917" s="22"/>
      <c r="X2917" s="16">
        <f t="shared" si="456"/>
        <v>0</v>
      </c>
      <c r="Y2917" s="16">
        <f t="shared" si="454"/>
        <v>0</v>
      </c>
    </row>
    <row r="2918" spans="2:25" s="39" customFormat="1" ht="15.95" customHeight="1">
      <c r="B2918" s="21"/>
      <c r="C2918" s="23"/>
      <c r="D2918" s="380"/>
      <c r="E2918" s="23"/>
      <c r="F2918" s="22"/>
      <c r="G2918" s="22"/>
      <c r="H2918" s="22"/>
      <c r="I2918" s="22"/>
      <c r="J2918" s="22"/>
      <c r="K2918" s="22"/>
      <c r="L2918" s="22"/>
      <c r="M2918" s="22"/>
      <c r="N2918" s="22"/>
      <c r="O2918" s="23"/>
      <c r="P2918" s="23"/>
      <c r="Q2918" s="216"/>
      <c r="R2918" s="216"/>
      <c r="S2918" s="877"/>
      <c r="T2918" s="877"/>
      <c r="U2918" s="877"/>
      <c r="V2918" s="22"/>
      <c r="X2918" s="16">
        <f t="shared" si="456"/>
        <v>0</v>
      </c>
      <c r="Y2918" s="16">
        <f t="shared" si="454"/>
        <v>0</v>
      </c>
    </row>
    <row r="2919" spans="2:25" s="39" customFormat="1" ht="15.95" customHeight="1">
      <c r="B2919" s="21"/>
      <c r="C2919" s="23"/>
      <c r="D2919" s="380"/>
      <c r="E2919" s="23"/>
      <c r="F2919" s="22"/>
      <c r="G2919" s="22"/>
      <c r="H2919" s="22"/>
      <c r="I2919" s="22"/>
      <c r="J2919" s="22"/>
      <c r="K2919" s="22"/>
      <c r="L2919" s="22"/>
      <c r="M2919" s="22"/>
      <c r="N2919" s="22"/>
      <c r="O2919" s="23"/>
      <c r="P2919" s="23"/>
      <c r="Q2919" s="216"/>
      <c r="R2919" s="216"/>
      <c r="S2919" s="877"/>
      <c r="T2919" s="877"/>
      <c r="U2919" s="877"/>
      <c r="V2919" s="22"/>
      <c r="X2919" s="16">
        <f t="shared" si="456"/>
        <v>0</v>
      </c>
      <c r="Y2919" s="16">
        <f t="shared" ref="Y2919:Y2950" si="457">X2919-M2919</f>
        <v>0</v>
      </c>
    </row>
    <row r="2920" spans="2:25" s="39" customFormat="1" ht="15.95" customHeight="1">
      <c r="B2920" s="21"/>
      <c r="C2920" s="23"/>
      <c r="D2920" s="380"/>
      <c r="E2920" s="23"/>
      <c r="F2920" s="22"/>
      <c r="G2920" s="22"/>
      <c r="H2920" s="22"/>
      <c r="I2920" s="22"/>
      <c r="J2920" s="22"/>
      <c r="K2920" s="22"/>
      <c r="L2920" s="22"/>
      <c r="M2920" s="22"/>
      <c r="N2920" s="22"/>
      <c r="O2920" s="23"/>
      <c r="P2920" s="23"/>
      <c r="Q2920" s="216"/>
      <c r="R2920" s="216"/>
      <c r="S2920" s="877"/>
      <c r="T2920" s="877"/>
      <c r="U2920" s="877"/>
      <c r="V2920" s="22"/>
      <c r="X2920" s="16">
        <f t="shared" si="456"/>
        <v>0</v>
      </c>
      <c r="Y2920" s="16">
        <f t="shared" si="457"/>
        <v>0</v>
      </c>
    </row>
    <row r="2921" spans="2:25" s="39" customFormat="1" ht="15.95" customHeight="1">
      <c r="B2921" s="21"/>
      <c r="C2921" s="23"/>
      <c r="D2921" s="380"/>
      <c r="E2921" s="23"/>
      <c r="F2921" s="22"/>
      <c r="G2921" s="22"/>
      <c r="H2921" s="22"/>
      <c r="I2921" s="22"/>
      <c r="J2921" s="22"/>
      <c r="K2921" s="22"/>
      <c r="L2921" s="22"/>
      <c r="M2921" s="22"/>
      <c r="N2921" s="22"/>
      <c r="O2921" s="23"/>
      <c r="P2921" s="23"/>
      <c r="Q2921" s="216"/>
      <c r="R2921" s="216"/>
      <c r="S2921" s="877"/>
      <c r="T2921" s="877"/>
      <c r="U2921" s="877"/>
      <c r="V2921" s="22"/>
      <c r="X2921" s="16">
        <f t="shared" si="456"/>
        <v>0</v>
      </c>
      <c r="Y2921" s="16">
        <f t="shared" si="457"/>
        <v>0</v>
      </c>
    </row>
    <row r="2922" spans="2:25" s="39" customFormat="1" ht="15.95" customHeight="1">
      <c r="B2922" s="21"/>
      <c r="C2922" s="23"/>
      <c r="D2922" s="380"/>
      <c r="E2922" s="23"/>
      <c r="F2922" s="22"/>
      <c r="G2922" s="22"/>
      <c r="H2922" s="22"/>
      <c r="I2922" s="22"/>
      <c r="J2922" s="22"/>
      <c r="K2922" s="22"/>
      <c r="L2922" s="22"/>
      <c r="M2922" s="22"/>
      <c r="N2922" s="22"/>
      <c r="O2922" s="23"/>
      <c r="P2922" s="23"/>
      <c r="Q2922" s="216"/>
      <c r="R2922" s="216"/>
      <c r="S2922" s="877"/>
      <c r="T2922" s="877"/>
      <c r="U2922" s="877"/>
      <c r="V2922" s="22"/>
      <c r="X2922" s="16">
        <f t="shared" si="456"/>
        <v>0</v>
      </c>
      <c r="Y2922" s="16">
        <f t="shared" si="457"/>
        <v>0</v>
      </c>
    </row>
    <row r="2923" spans="2:25" s="39" customFormat="1" ht="15.95" customHeight="1">
      <c r="B2923" s="21"/>
      <c r="C2923" s="23"/>
      <c r="D2923" s="380"/>
      <c r="E2923" s="23"/>
      <c r="F2923" s="22"/>
      <c r="G2923" s="22"/>
      <c r="H2923" s="22"/>
      <c r="I2923" s="22"/>
      <c r="J2923" s="22"/>
      <c r="K2923" s="22"/>
      <c r="L2923" s="22"/>
      <c r="M2923" s="22"/>
      <c r="N2923" s="22"/>
      <c r="O2923" s="23"/>
      <c r="P2923" s="23"/>
      <c r="Q2923" s="216"/>
      <c r="R2923" s="216"/>
      <c r="S2923" s="877"/>
      <c r="T2923" s="877"/>
      <c r="U2923" s="877"/>
      <c r="V2923" s="22"/>
      <c r="X2923" s="16">
        <f t="shared" si="456"/>
        <v>0</v>
      </c>
      <c r="Y2923" s="16">
        <f t="shared" si="457"/>
        <v>0</v>
      </c>
    </row>
    <row r="2924" spans="2:25" s="39" customFormat="1" ht="15.95" customHeight="1">
      <c r="B2924" s="21"/>
      <c r="C2924" s="23"/>
      <c r="D2924" s="380"/>
      <c r="E2924" s="23"/>
      <c r="F2924" s="22"/>
      <c r="G2924" s="22"/>
      <c r="H2924" s="22"/>
      <c r="I2924" s="22"/>
      <c r="J2924" s="22"/>
      <c r="K2924" s="22"/>
      <c r="L2924" s="22"/>
      <c r="M2924" s="22"/>
      <c r="N2924" s="22"/>
      <c r="O2924" s="23"/>
      <c r="P2924" s="23"/>
      <c r="Q2924" s="216"/>
      <c r="R2924" s="216"/>
      <c r="S2924" s="877"/>
      <c r="T2924" s="877"/>
      <c r="U2924" s="877"/>
      <c r="V2924" s="22"/>
      <c r="X2924" s="16">
        <f t="shared" si="456"/>
        <v>0</v>
      </c>
      <c r="Y2924" s="16">
        <f t="shared" si="457"/>
        <v>0</v>
      </c>
    </row>
    <row r="2925" spans="2:25" s="39" customFormat="1" ht="15.95" customHeight="1">
      <c r="B2925" s="21"/>
      <c r="C2925" s="23"/>
      <c r="D2925" s="380"/>
      <c r="E2925" s="23"/>
      <c r="F2925" s="22"/>
      <c r="G2925" s="22"/>
      <c r="H2925" s="22"/>
      <c r="I2925" s="22"/>
      <c r="J2925" s="22"/>
      <c r="K2925" s="22"/>
      <c r="L2925" s="22"/>
      <c r="M2925" s="22"/>
      <c r="N2925" s="22"/>
      <c r="O2925" s="23"/>
      <c r="P2925" s="23"/>
      <c r="Q2925" s="216"/>
      <c r="R2925" s="216"/>
      <c r="S2925" s="877"/>
      <c r="T2925" s="877"/>
      <c r="U2925" s="877"/>
      <c r="V2925" s="22"/>
      <c r="X2925" s="16">
        <f t="shared" si="456"/>
        <v>0</v>
      </c>
      <c r="Y2925" s="16">
        <f t="shared" si="457"/>
        <v>0</v>
      </c>
    </row>
    <row r="2926" spans="2:25" s="39" customFormat="1" ht="15.95" customHeight="1">
      <c r="B2926" s="21"/>
      <c r="C2926" s="23"/>
      <c r="D2926" s="380"/>
      <c r="E2926" s="23"/>
      <c r="F2926" s="22"/>
      <c r="G2926" s="22"/>
      <c r="H2926" s="22"/>
      <c r="I2926" s="22"/>
      <c r="J2926" s="22"/>
      <c r="K2926" s="22"/>
      <c r="L2926" s="22"/>
      <c r="M2926" s="22"/>
      <c r="N2926" s="22"/>
      <c r="O2926" s="23"/>
      <c r="P2926" s="23"/>
      <c r="Q2926" s="216"/>
      <c r="R2926" s="216"/>
      <c r="S2926" s="877"/>
      <c r="T2926" s="877"/>
      <c r="U2926" s="877"/>
      <c r="V2926" s="22"/>
      <c r="X2926" s="16">
        <f t="shared" si="456"/>
        <v>0</v>
      </c>
      <c r="Y2926" s="16">
        <f t="shared" si="457"/>
        <v>0</v>
      </c>
    </row>
    <row r="2927" spans="2:25" s="39" customFormat="1" ht="15.95" customHeight="1">
      <c r="B2927" s="21"/>
      <c r="C2927" s="23"/>
      <c r="D2927" s="380"/>
      <c r="E2927" s="23"/>
      <c r="F2927" s="22"/>
      <c r="G2927" s="22"/>
      <c r="H2927" s="22"/>
      <c r="I2927" s="22"/>
      <c r="J2927" s="22"/>
      <c r="K2927" s="22"/>
      <c r="L2927" s="22"/>
      <c r="M2927" s="22"/>
      <c r="N2927" s="22"/>
      <c r="O2927" s="23"/>
      <c r="P2927" s="23"/>
      <c r="Q2927" s="216"/>
      <c r="R2927" s="216"/>
      <c r="S2927" s="877"/>
      <c r="T2927" s="877"/>
      <c r="U2927" s="877"/>
      <c r="V2927" s="22"/>
      <c r="X2927" s="16">
        <f t="shared" si="456"/>
        <v>0</v>
      </c>
      <c r="Y2927" s="16">
        <f t="shared" si="457"/>
        <v>0</v>
      </c>
    </row>
    <row r="2928" spans="2:25" s="39" customFormat="1" ht="15.95" customHeight="1">
      <c r="B2928" s="21"/>
      <c r="C2928" s="23"/>
      <c r="D2928" s="380"/>
      <c r="E2928" s="23"/>
      <c r="F2928" s="22"/>
      <c r="G2928" s="22"/>
      <c r="H2928" s="22"/>
      <c r="I2928" s="22"/>
      <c r="J2928" s="22"/>
      <c r="K2928" s="22"/>
      <c r="L2928" s="22"/>
      <c r="M2928" s="22"/>
      <c r="N2928" s="22"/>
      <c r="O2928" s="23"/>
      <c r="P2928" s="23"/>
      <c r="Q2928" s="216"/>
      <c r="R2928" s="216"/>
      <c r="S2928" s="877"/>
      <c r="T2928" s="877"/>
      <c r="U2928" s="877"/>
      <c r="V2928" s="22"/>
      <c r="X2928" s="16">
        <f t="shared" si="456"/>
        <v>0</v>
      </c>
      <c r="Y2928" s="16">
        <f t="shared" si="457"/>
        <v>0</v>
      </c>
    </row>
    <row r="2929" spans="2:25" s="39" customFormat="1" ht="15.95" customHeight="1">
      <c r="B2929" s="21"/>
      <c r="C2929" s="23"/>
      <c r="D2929" s="380"/>
      <c r="E2929" s="23"/>
      <c r="F2929" s="22"/>
      <c r="G2929" s="22"/>
      <c r="H2929" s="22"/>
      <c r="I2929" s="22"/>
      <c r="J2929" s="22"/>
      <c r="K2929" s="22"/>
      <c r="L2929" s="22"/>
      <c r="M2929" s="22"/>
      <c r="N2929" s="22"/>
      <c r="O2929" s="23"/>
      <c r="P2929" s="23"/>
      <c r="Q2929" s="216"/>
      <c r="R2929" s="216"/>
      <c r="S2929" s="877"/>
      <c r="T2929" s="877"/>
      <c r="U2929" s="877"/>
      <c r="V2929" s="22"/>
      <c r="X2929" s="16">
        <f t="shared" si="456"/>
        <v>0</v>
      </c>
      <c r="Y2929" s="16">
        <f t="shared" si="457"/>
        <v>0</v>
      </c>
    </row>
    <row r="2930" spans="2:25" s="39" customFormat="1" ht="15.95" customHeight="1">
      <c r="B2930" s="21"/>
      <c r="C2930" s="23"/>
      <c r="D2930" s="380"/>
      <c r="E2930" s="23"/>
      <c r="F2930" s="22"/>
      <c r="G2930" s="22"/>
      <c r="H2930" s="22"/>
      <c r="I2930" s="22"/>
      <c r="J2930" s="22"/>
      <c r="K2930" s="22"/>
      <c r="L2930" s="22"/>
      <c r="M2930" s="22"/>
      <c r="N2930" s="22"/>
      <c r="O2930" s="23"/>
      <c r="P2930" s="23"/>
      <c r="Q2930" s="216"/>
      <c r="R2930" s="216"/>
      <c r="S2930" s="877"/>
      <c r="T2930" s="877"/>
      <c r="U2930" s="877"/>
      <c r="V2930" s="22"/>
      <c r="X2930" s="16">
        <f t="shared" si="456"/>
        <v>0</v>
      </c>
      <c r="Y2930" s="16">
        <f t="shared" si="457"/>
        <v>0</v>
      </c>
    </row>
    <row r="2931" spans="2:25" s="39" customFormat="1" ht="15.95" customHeight="1">
      <c r="B2931" s="21"/>
      <c r="C2931" s="23"/>
      <c r="D2931" s="380"/>
      <c r="E2931" s="23"/>
      <c r="F2931" s="22"/>
      <c r="G2931" s="22"/>
      <c r="H2931" s="22"/>
      <c r="I2931" s="22"/>
      <c r="J2931" s="22"/>
      <c r="K2931" s="22"/>
      <c r="L2931" s="22"/>
      <c r="M2931" s="22"/>
      <c r="N2931" s="22"/>
      <c r="O2931" s="23"/>
      <c r="P2931" s="23"/>
      <c r="Q2931" s="216"/>
      <c r="R2931" s="216"/>
      <c r="S2931" s="877"/>
      <c r="T2931" s="877"/>
      <c r="U2931" s="877"/>
      <c r="V2931" s="22"/>
      <c r="X2931" s="16">
        <f t="shared" si="456"/>
        <v>0</v>
      </c>
      <c r="Y2931" s="16">
        <f t="shared" si="457"/>
        <v>0</v>
      </c>
    </row>
    <row r="2932" spans="2:25" s="39" customFormat="1" ht="15.95" customHeight="1">
      <c r="B2932" s="21"/>
      <c r="C2932" s="23"/>
      <c r="D2932" s="380"/>
      <c r="E2932" s="23"/>
      <c r="F2932" s="22"/>
      <c r="G2932" s="22"/>
      <c r="H2932" s="22"/>
      <c r="I2932" s="22"/>
      <c r="J2932" s="22"/>
      <c r="K2932" s="22"/>
      <c r="L2932" s="22"/>
      <c r="M2932" s="22"/>
      <c r="N2932" s="22"/>
      <c r="O2932" s="23"/>
      <c r="P2932" s="23"/>
      <c r="Q2932" s="216"/>
      <c r="R2932" s="216"/>
      <c r="S2932" s="877"/>
      <c r="T2932" s="877"/>
      <c r="U2932" s="877"/>
      <c r="V2932" s="22"/>
      <c r="X2932" s="16">
        <f t="shared" si="456"/>
        <v>0</v>
      </c>
      <c r="Y2932" s="16">
        <f t="shared" si="457"/>
        <v>0</v>
      </c>
    </row>
    <row r="2933" spans="2:25" s="39" customFormat="1" ht="15.95" customHeight="1">
      <c r="B2933" s="21"/>
      <c r="C2933" s="23"/>
      <c r="D2933" s="380"/>
      <c r="E2933" s="23"/>
      <c r="F2933" s="22"/>
      <c r="G2933" s="22"/>
      <c r="H2933" s="22"/>
      <c r="I2933" s="22"/>
      <c r="J2933" s="22"/>
      <c r="K2933" s="22"/>
      <c r="L2933" s="22"/>
      <c r="M2933" s="22"/>
      <c r="N2933" s="22"/>
      <c r="O2933" s="23"/>
      <c r="P2933" s="23"/>
      <c r="Q2933" s="216"/>
      <c r="R2933" s="216"/>
      <c r="S2933" s="877"/>
      <c r="T2933" s="877"/>
      <c r="U2933" s="877"/>
      <c r="V2933" s="22"/>
      <c r="X2933" s="16">
        <f t="shared" si="456"/>
        <v>0</v>
      </c>
      <c r="Y2933" s="16">
        <f t="shared" si="457"/>
        <v>0</v>
      </c>
    </row>
    <row r="2934" spans="2:25" s="39" customFormat="1" ht="15.95" customHeight="1">
      <c r="B2934" s="21"/>
      <c r="C2934" s="23"/>
      <c r="D2934" s="380"/>
      <c r="E2934" s="23"/>
      <c r="F2934" s="22"/>
      <c r="G2934" s="22"/>
      <c r="H2934" s="22"/>
      <c r="I2934" s="22"/>
      <c r="J2934" s="22"/>
      <c r="K2934" s="22"/>
      <c r="L2934" s="22"/>
      <c r="M2934" s="22"/>
      <c r="N2934" s="22"/>
      <c r="O2934" s="23"/>
      <c r="P2934" s="23"/>
      <c r="Q2934" s="216"/>
      <c r="R2934" s="216"/>
      <c r="S2934" s="877"/>
      <c r="T2934" s="877"/>
      <c r="U2934" s="877"/>
      <c r="V2934" s="22"/>
      <c r="X2934" s="16">
        <f t="shared" si="456"/>
        <v>0</v>
      </c>
      <c r="Y2934" s="16">
        <f t="shared" si="457"/>
        <v>0</v>
      </c>
    </row>
    <row r="2935" spans="2:25" s="39" customFormat="1" ht="15.95" customHeight="1">
      <c r="B2935" s="21"/>
      <c r="C2935" s="23"/>
      <c r="D2935" s="380"/>
      <c r="E2935" s="23"/>
      <c r="F2935" s="22"/>
      <c r="G2935" s="22"/>
      <c r="H2935" s="22"/>
      <c r="I2935" s="22"/>
      <c r="J2935" s="22"/>
      <c r="K2935" s="22"/>
      <c r="L2935" s="22"/>
      <c r="M2935" s="22"/>
      <c r="N2935" s="22"/>
      <c r="O2935" s="23"/>
      <c r="P2935" s="23"/>
      <c r="Q2935" s="216"/>
      <c r="R2935" s="216"/>
      <c r="S2935" s="877"/>
      <c r="T2935" s="877"/>
      <c r="U2935" s="877"/>
      <c r="V2935" s="22"/>
      <c r="X2935" s="16">
        <f t="shared" si="456"/>
        <v>0</v>
      </c>
      <c r="Y2935" s="16">
        <f t="shared" si="457"/>
        <v>0</v>
      </c>
    </row>
    <row r="2936" spans="2:25" s="39" customFormat="1" ht="15.95" customHeight="1">
      <c r="B2936" s="21"/>
      <c r="C2936" s="23"/>
      <c r="D2936" s="380"/>
      <c r="E2936" s="23"/>
      <c r="F2936" s="22"/>
      <c r="G2936" s="22"/>
      <c r="H2936" s="22"/>
      <c r="I2936" s="22"/>
      <c r="J2936" s="22"/>
      <c r="K2936" s="22"/>
      <c r="L2936" s="22"/>
      <c r="M2936" s="22"/>
      <c r="N2936" s="22"/>
      <c r="O2936" s="23"/>
      <c r="P2936" s="23"/>
      <c r="Q2936" s="216"/>
      <c r="R2936" s="216"/>
      <c r="S2936" s="877"/>
      <c r="T2936" s="877"/>
      <c r="U2936" s="877"/>
      <c r="V2936" s="22"/>
      <c r="X2936" s="16">
        <f t="shared" si="456"/>
        <v>0</v>
      </c>
      <c r="Y2936" s="16">
        <f t="shared" si="457"/>
        <v>0</v>
      </c>
    </row>
    <row r="2937" spans="2:25" s="39" customFormat="1" ht="15.95" customHeight="1">
      <c r="B2937" s="21"/>
      <c r="C2937" s="23"/>
      <c r="D2937" s="380"/>
      <c r="E2937" s="23"/>
      <c r="F2937" s="22"/>
      <c r="G2937" s="22"/>
      <c r="H2937" s="22"/>
      <c r="I2937" s="22"/>
      <c r="J2937" s="22"/>
      <c r="K2937" s="22"/>
      <c r="L2937" s="22"/>
      <c r="M2937" s="22"/>
      <c r="N2937" s="22"/>
      <c r="O2937" s="23"/>
      <c r="P2937" s="23"/>
      <c r="Q2937" s="216"/>
      <c r="R2937" s="216"/>
      <c r="S2937" s="877"/>
      <c r="T2937" s="877"/>
      <c r="U2937" s="877"/>
      <c r="V2937" s="22"/>
      <c r="X2937" s="16">
        <f t="shared" si="456"/>
        <v>0</v>
      </c>
      <c r="Y2937" s="16">
        <f t="shared" si="457"/>
        <v>0</v>
      </c>
    </row>
    <row r="2938" spans="2:25" s="39" customFormat="1" ht="15.95" customHeight="1">
      <c r="B2938" s="21"/>
      <c r="C2938" s="23"/>
      <c r="D2938" s="380"/>
      <c r="E2938" s="23"/>
      <c r="F2938" s="22"/>
      <c r="G2938" s="22"/>
      <c r="H2938" s="22"/>
      <c r="I2938" s="22"/>
      <c r="J2938" s="22"/>
      <c r="K2938" s="22"/>
      <c r="L2938" s="22"/>
      <c r="M2938" s="22"/>
      <c r="N2938" s="22"/>
      <c r="O2938" s="23"/>
      <c r="P2938" s="23"/>
      <c r="Q2938" s="216"/>
      <c r="R2938" s="216"/>
      <c r="S2938" s="877"/>
      <c r="T2938" s="877"/>
      <c r="U2938" s="877"/>
      <c r="V2938" s="22"/>
      <c r="X2938" s="16">
        <f t="shared" si="456"/>
        <v>0</v>
      </c>
      <c r="Y2938" s="16">
        <f t="shared" si="457"/>
        <v>0</v>
      </c>
    </row>
    <row r="2939" spans="2:25" s="39" customFormat="1" ht="15.95" customHeight="1">
      <c r="B2939" s="21"/>
      <c r="C2939" s="23"/>
      <c r="D2939" s="380"/>
      <c r="E2939" s="23"/>
      <c r="F2939" s="22"/>
      <c r="G2939" s="22"/>
      <c r="H2939" s="22"/>
      <c r="I2939" s="22"/>
      <c r="J2939" s="22"/>
      <c r="K2939" s="22"/>
      <c r="L2939" s="22"/>
      <c r="M2939" s="22"/>
      <c r="N2939" s="22"/>
      <c r="O2939" s="23"/>
      <c r="P2939" s="23"/>
      <c r="Q2939" s="216"/>
      <c r="R2939" s="216"/>
      <c r="S2939" s="877"/>
      <c r="T2939" s="877"/>
      <c r="U2939" s="877"/>
      <c r="V2939" s="22"/>
      <c r="X2939" s="16">
        <f t="shared" si="456"/>
        <v>0</v>
      </c>
      <c r="Y2939" s="16">
        <f t="shared" si="457"/>
        <v>0</v>
      </c>
    </row>
    <row r="2940" spans="2:25" s="39" customFormat="1" ht="15.95" customHeight="1">
      <c r="B2940" s="21"/>
      <c r="C2940" s="23"/>
      <c r="D2940" s="380"/>
      <c r="E2940" s="23"/>
      <c r="F2940" s="22"/>
      <c r="G2940" s="22"/>
      <c r="H2940" s="22"/>
      <c r="I2940" s="22"/>
      <c r="J2940" s="22"/>
      <c r="K2940" s="22"/>
      <c r="L2940" s="22"/>
      <c r="M2940" s="22"/>
      <c r="N2940" s="22"/>
      <c r="O2940" s="23"/>
      <c r="P2940" s="23"/>
      <c r="Q2940" s="216"/>
      <c r="R2940" s="216"/>
      <c r="S2940" s="877"/>
      <c r="T2940" s="877"/>
      <c r="U2940" s="877"/>
      <c r="V2940" s="22"/>
      <c r="X2940" s="16">
        <f t="shared" si="456"/>
        <v>0</v>
      </c>
      <c r="Y2940" s="16">
        <f t="shared" si="457"/>
        <v>0</v>
      </c>
    </row>
    <row r="2941" spans="2:25" s="39" customFormat="1" ht="15.95" customHeight="1">
      <c r="B2941" s="21"/>
      <c r="C2941" s="23"/>
      <c r="D2941" s="380"/>
      <c r="E2941" s="23"/>
      <c r="F2941" s="22"/>
      <c r="G2941" s="22"/>
      <c r="H2941" s="22"/>
      <c r="I2941" s="22"/>
      <c r="J2941" s="22"/>
      <c r="K2941" s="22"/>
      <c r="L2941" s="22"/>
      <c r="M2941" s="22"/>
      <c r="N2941" s="22"/>
      <c r="O2941" s="23"/>
      <c r="P2941" s="23"/>
      <c r="Q2941" s="216"/>
      <c r="R2941" s="216"/>
      <c r="S2941" s="877"/>
      <c r="T2941" s="877"/>
      <c r="U2941" s="877"/>
      <c r="V2941" s="22"/>
      <c r="X2941" s="16">
        <f t="shared" si="456"/>
        <v>0</v>
      </c>
      <c r="Y2941" s="16">
        <f t="shared" si="457"/>
        <v>0</v>
      </c>
    </row>
    <row r="2942" spans="2:25" s="39" customFormat="1" ht="15.95" customHeight="1">
      <c r="B2942" s="21"/>
      <c r="C2942" s="23"/>
      <c r="D2942" s="380"/>
      <c r="E2942" s="23"/>
      <c r="F2942" s="22"/>
      <c r="G2942" s="22"/>
      <c r="H2942" s="22"/>
      <c r="I2942" s="22"/>
      <c r="J2942" s="22"/>
      <c r="K2942" s="22"/>
      <c r="L2942" s="22"/>
      <c r="M2942" s="22"/>
      <c r="N2942" s="22"/>
      <c r="O2942" s="23"/>
      <c r="P2942" s="23"/>
      <c r="Q2942" s="216"/>
      <c r="R2942" s="216"/>
      <c r="S2942" s="877"/>
      <c r="T2942" s="877"/>
      <c r="U2942" s="877"/>
      <c r="V2942" s="22"/>
      <c r="X2942" s="16">
        <f t="shared" si="456"/>
        <v>0</v>
      </c>
      <c r="Y2942" s="16">
        <f t="shared" si="457"/>
        <v>0</v>
      </c>
    </row>
    <row r="2943" spans="2:25" s="39" customFormat="1" ht="15.95" customHeight="1">
      <c r="B2943" s="21"/>
      <c r="C2943" s="23"/>
      <c r="D2943" s="380"/>
      <c r="E2943" s="23"/>
      <c r="F2943" s="22"/>
      <c r="G2943" s="22"/>
      <c r="H2943" s="22"/>
      <c r="I2943" s="22"/>
      <c r="J2943" s="22"/>
      <c r="K2943" s="22"/>
      <c r="L2943" s="22"/>
      <c r="M2943" s="22"/>
      <c r="N2943" s="22"/>
      <c r="O2943" s="23"/>
      <c r="P2943" s="23"/>
      <c r="Q2943" s="216"/>
      <c r="R2943" s="216"/>
      <c r="S2943" s="877"/>
      <c r="T2943" s="877"/>
      <c r="U2943" s="877"/>
      <c r="V2943" s="22"/>
      <c r="X2943" s="16">
        <f t="shared" si="456"/>
        <v>0</v>
      </c>
      <c r="Y2943" s="16">
        <f t="shared" si="457"/>
        <v>0</v>
      </c>
    </row>
    <row r="2944" spans="2:25" s="39" customFormat="1" ht="15.95" customHeight="1">
      <c r="B2944" s="21"/>
      <c r="C2944" s="23"/>
      <c r="D2944" s="380"/>
      <c r="E2944" s="23"/>
      <c r="F2944" s="22"/>
      <c r="G2944" s="22"/>
      <c r="H2944" s="22"/>
      <c r="I2944" s="22"/>
      <c r="J2944" s="22"/>
      <c r="K2944" s="22"/>
      <c r="L2944" s="22"/>
      <c r="M2944" s="22"/>
      <c r="N2944" s="22"/>
      <c r="O2944" s="23"/>
      <c r="P2944" s="23"/>
      <c r="Q2944" s="216"/>
      <c r="R2944" s="216"/>
      <c r="S2944" s="877"/>
      <c r="T2944" s="877"/>
      <c r="U2944" s="877"/>
      <c r="V2944" s="22"/>
      <c r="X2944" s="16">
        <f t="shared" si="456"/>
        <v>0</v>
      </c>
      <c r="Y2944" s="16">
        <f t="shared" si="457"/>
        <v>0</v>
      </c>
    </row>
    <row r="2945" spans="2:25" s="39" customFormat="1" ht="15.95" customHeight="1">
      <c r="B2945" s="21"/>
      <c r="C2945" s="23"/>
      <c r="D2945" s="380"/>
      <c r="E2945" s="23"/>
      <c r="F2945" s="22"/>
      <c r="G2945" s="22"/>
      <c r="H2945" s="22"/>
      <c r="I2945" s="22"/>
      <c r="J2945" s="22"/>
      <c r="K2945" s="22"/>
      <c r="L2945" s="22"/>
      <c r="M2945" s="22"/>
      <c r="N2945" s="22"/>
      <c r="O2945" s="23"/>
      <c r="P2945" s="23"/>
      <c r="Q2945" s="216"/>
      <c r="R2945" s="216"/>
      <c r="S2945" s="877"/>
      <c r="T2945" s="877"/>
      <c r="U2945" s="877"/>
      <c r="V2945" s="22"/>
      <c r="X2945" s="16">
        <f t="shared" si="456"/>
        <v>0</v>
      </c>
      <c r="Y2945" s="16">
        <f t="shared" si="457"/>
        <v>0</v>
      </c>
    </row>
    <row r="2946" spans="2:25" s="39" customFormat="1" ht="15.95" customHeight="1">
      <c r="B2946" s="21"/>
      <c r="C2946" s="23"/>
      <c r="D2946" s="380"/>
      <c r="E2946" s="23"/>
      <c r="F2946" s="22"/>
      <c r="G2946" s="22"/>
      <c r="H2946" s="22"/>
      <c r="I2946" s="22"/>
      <c r="J2946" s="22"/>
      <c r="K2946" s="22"/>
      <c r="L2946" s="22"/>
      <c r="M2946" s="22"/>
      <c r="N2946" s="22"/>
      <c r="O2946" s="23"/>
      <c r="P2946" s="23"/>
      <c r="Q2946" s="216"/>
      <c r="R2946" s="216"/>
      <c r="S2946" s="877"/>
      <c r="T2946" s="877"/>
      <c r="U2946" s="877"/>
      <c r="V2946" s="22"/>
      <c r="X2946" s="16">
        <f t="shared" si="456"/>
        <v>0</v>
      </c>
      <c r="Y2946" s="16">
        <f t="shared" si="457"/>
        <v>0</v>
      </c>
    </row>
    <row r="2947" spans="2:25" s="39" customFormat="1" ht="15.95" customHeight="1">
      <c r="B2947" s="21"/>
      <c r="C2947" s="23"/>
      <c r="D2947" s="380"/>
      <c r="E2947" s="23"/>
      <c r="F2947" s="22"/>
      <c r="G2947" s="22"/>
      <c r="H2947" s="22"/>
      <c r="I2947" s="22"/>
      <c r="J2947" s="22"/>
      <c r="K2947" s="22"/>
      <c r="L2947" s="22"/>
      <c r="M2947" s="22"/>
      <c r="N2947" s="22"/>
      <c r="O2947" s="23"/>
      <c r="P2947" s="23"/>
      <c r="Q2947" s="216"/>
      <c r="R2947" s="216"/>
      <c r="S2947" s="877"/>
      <c r="T2947" s="877"/>
      <c r="U2947" s="877"/>
      <c r="V2947" s="22"/>
      <c r="X2947" s="16">
        <f t="shared" si="456"/>
        <v>0</v>
      </c>
      <c r="Y2947" s="16">
        <f t="shared" si="457"/>
        <v>0</v>
      </c>
    </row>
    <row r="2948" spans="2:25" s="39" customFormat="1" ht="15.95" customHeight="1">
      <c r="B2948" s="21"/>
      <c r="C2948" s="23"/>
      <c r="D2948" s="380"/>
      <c r="E2948" s="23"/>
      <c r="F2948" s="22"/>
      <c r="G2948" s="22"/>
      <c r="H2948" s="22"/>
      <c r="I2948" s="22"/>
      <c r="J2948" s="22"/>
      <c r="K2948" s="22"/>
      <c r="L2948" s="22"/>
      <c r="M2948" s="22"/>
      <c r="N2948" s="22"/>
      <c r="O2948" s="23"/>
      <c r="P2948" s="23"/>
      <c r="Q2948" s="216"/>
      <c r="R2948" s="216"/>
      <c r="S2948" s="877"/>
      <c r="T2948" s="877"/>
      <c r="U2948" s="877"/>
      <c r="V2948" s="22"/>
      <c r="X2948" s="16">
        <f t="shared" si="456"/>
        <v>0</v>
      </c>
      <c r="Y2948" s="16">
        <f t="shared" si="457"/>
        <v>0</v>
      </c>
    </row>
    <row r="2949" spans="2:25" s="39" customFormat="1" ht="15.95" customHeight="1">
      <c r="B2949" s="21"/>
      <c r="C2949" s="23"/>
      <c r="D2949" s="380"/>
      <c r="E2949" s="23"/>
      <c r="F2949" s="22"/>
      <c r="G2949" s="22"/>
      <c r="H2949" s="22"/>
      <c r="I2949" s="22"/>
      <c r="J2949" s="22"/>
      <c r="K2949" s="22"/>
      <c r="L2949" s="22"/>
      <c r="M2949" s="22"/>
      <c r="N2949" s="22"/>
      <c r="O2949" s="23"/>
      <c r="P2949" s="23"/>
      <c r="Q2949" s="216"/>
      <c r="R2949" s="216"/>
      <c r="S2949" s="877"/>
      <c r="T2949" s="877"/>
      <c r="U2949" s="877"/>
      <c r="V2949" s="22"/>
      <c r="X2949" s="16">
        <f t="shared" si="456"/>
        <v>0</v>
      </c>
      <c r="Y2949" s="16">
        <f t="shared" si="457"/>
        <v>0</v>
      </c>
    </row>
    <row r="2950" spans="2:25" s="39" customFormat="1" ht="15.95" customHeight="1">
      <c r="B2950" s="21"/>
      <c r="C2950" s="23"/>
      <c r="D2950" s="380"/>
      <c r="E2950" s="23"/>
      <c r="F2950" s="22"/>
      <c r="G2950" s="22"/>
      <c r="H2950" s="22"/>
      <c r="I2950" s="22"/>
      <c r="J2950" s="22"/>
      <c r="K2950" s="22"/>
      <c r="L2950" s="22"/>
      <c r="M2950" s="22"/>
      <c r="N2950" s="22"/>
      <c r="O2950" s="23"/>
      <c r="P2950" s="23"/>
      <c r="Q2950" s="216"/>
      <c r="R2950" s="216"/>
      <c r="S2950" s="877"/>
      <c r="T2950" s="877"/>
      <c r="U2950" s="877"/>
      <c r="V2950" s="22"/>
      <c r="X2950" s="16">
        <f t="shared" si="456"/>
        <v>0</v>
      </c>
      <c r="Y2950" s="16">
        <f t="shared" si="457"/>
        <v>0</v>
      </c>
    </row>
    <row r="2951" spans="2:25" s="39" customFormat="1" ht="15.95" customHeight="1">
      <c r="B2951" s="21"/>
      <c r="C2951" s="23"/>
      <c r="D2951" s="380"/>
      <c r="E2951" s="23"/>
      <c r="F2951" s="22"/>
      <c r="G2951" s="22"/>
      <c r="H2951" s="22"/>
      <c r="I2951" s="22"/>
      <c r="J2951" s="22"/>
      <c r="K2951" s="22"/>
      <c r="L2951" s="22"/>
      <c r="M2951" s="22"/>
      <c r="N2951" s="22"/>
      <c r="O2951" s="23"/>
      <c r="P2951" s="23"/>
      <c r="Q2951" s="216"/>
      <c r="R2951" s="216"/>
      <c r="S2951" s="877"/>
      <c r="T2951" s="877"/>
      <c r="U2951" s="877"/>
      <c r="V2951" s="22"/>
      <c r="X2951" s="16">
        <f t="shared" si="456"/>
        <v>0</v>
      </c>
      <c r="Y2951" s="16">
        <f t="shared" ref="Y2951:Y2982" si="458">X2951-M2951</f>
        <v>0</v>
      </c>
    </row>
    <row r="2952" spans="2:25" s="39" customFormat="1" ht="15.95" customHeight="1">
      <c r="B2952" s="21"/>
      <c r="C2952" s="23"/>
      <c r="D2952" s="380"/>
      <c r="E2952" s="23"/>
      <c r="F2952" s="22"/>
      <c r="G2952" s="22"/>
      <c r="H2952" s="22"/>
      <c r="I2952" s="22"/>
      <c r="J2952" s="22"/>
      <c r="K2952" s="22"/>
      <c r="L2952" s="22"/>
      <c r="M2952" s="22"/>
      <c r="N2952" s="22"/>
      <c r="O2952" s="23"/>
      <c r="P2952" s="23"/>
      <c r="Q2952" s="216"/>
      <c r="R2952" s="216"/>
      <c r="S2952" s="877"/>
      <c r="T2952" s="877"/>
      <c r="U2952" s="877"/>
      <c r="V2952" s="22"/>
      <c r="X2952" s="16">
        <f t="shared" si="456"/>
        <v>0</v>
      </c>
      <c r="Y2952" s="16">
        <f t="shared" si="458"/>
        <v>0</v>
      </c>
    </row>
    <row r="2953" spans="2:25" s="39" customFormat="1" ht="15.95" customHeight="1">
      <c r="B2953" s="21"/>
      <c r="C2953" s="23"/>
      <c r="D2953" s="380"/>
      <c r="E2953" s="23"/>
      <c r="F2953" s="22"/>
      <c r="G2953" s="22"/>
      <c r="H2953" s="22"/>
      <c r="I2953" s="22"/>
      <c r="J2953" s="22"/>
      <c r="K2953" s="22"/>
      <c r="L2953" s="22"/>
      <c r="M2953" s="22"/>
      <c r="N2953" s="22"/>
      <c r="O2953" s="23"/>
      <c r="P2953" s="23"/>
      <c r="Q2953" s="216"/>
      <c r="R2953" s="216"/>
      <c r="S2953" s="877"/>
      <c r="T2953" s="877"/>
      <c r="U2953" s="877"/>
      <c r="V2953" s="22"/>
      <c r="X2953" s="16">
        <f t="shared" si="456"/>
        <v>0</v>
      </c>
      <c r="Y2953" s="16">
        <f t="shared" si="458"/>
        <v>0</v>
      </c>
    </row>
    <row r="2954" spans="2:25" s="39" customFormat="1" ht="15.95" customHeight="1">
      <c r="B2954" s="21"/>
      <c r="C2954" s="23"/>
      <c r="D2954" s="380"/>
      <c r="E2954" s="23"/>
      <c r="F2954" s="22"/>
      <c r="G2954" s="22"/>
      <c r="H2954" s="22"/>
      <c r="I2954" s="22"/>
      <c r="J2954" s="22"/>
      <c r="K2954" s="22"/>
      <c r="L2954" s="22"/>
      <c r="M2954" s="22"/>
      <c r="N2954" s="22"/>
      <c r="O2954" s="23"/>
      <c r="P2954" s="23"/>
      <c r="Q2954" s="216"/>
      <c r="R2954" s="216"/>
      <c r="S2954" s="877"/>
      <c r="T2954" s="877"/>
      <c r="U2954" s="877"/>
      <c r="V2954" s="22"/>
      <c r="X2954" s="16">
        <f t="shared" si="456"/>
        <v>0</v>
      </c>
      <c r="Y2954" s="16">
        <f t="shared" si="458"/>
        <v>0</v>
      </c>
    </row>
    <row r="2955" spans="2:25" s="39" customFormat="1" ht="15.95" customHeight="1">
      <c r="B2955" s="21"/>
      <c r="C2955" s="23"/>
      <c r="D2955" s="380"/>
      <c r="E2955" s="23"/>
      <c r="F2955" s="22"/>
      <c r="G2955" s="22"/>
      <c r="H2955" s="22"/>
      <c r="I2955" s="22"/>
      <c r="J2955" s="22"/>
      <c r="K2955" s="22"/>
      <c r="L2955" s="22"/>
      <c r="M2955" s="22"/>
      <c r="N2955" s="22"/>
      <c r="O2955" s="23"/>
      <c r="P2955" s="23"/>
      <c r="Q2955" s="216"/>
      <c r="R2955" s="216"/>
      <c r="S2955" s="877"/>
      <c r="T2955" s="877"/>
      <c r="U2955" s="877"/>
      <c r="V2955" s="22"/>
      <c r="X2955" s="16">
        <f t="shared" si="456"/>
        <v>0</v>
      </c>
      <c r="Y2955" s="16">
        <f t="shared" si="458"/>
        <v>0</v>
      </c>
    </row>
    <row r="2956" spans="2:25" s="39" customFormat="1" ht="15.95" customHeight="1">
      <c r="B2956" s="21"/>
      <c r="C2956" s="23"/>
      <c r="D2956" s="380"/>
      <c r="E2956" s="23"/>
      <c r="F2956" s="22"/>
      <c r="G2956" s="22"/>
      <c r="H2956" s="22"/>
      <c r="I2956" s="22"/>
      <c r="J2956" s="22"/>
      <c r="K2956" s="22"/>
      <c r="L2956" s="22"/>
      <c r="M2956" s="22"/>
      <c r="N2956" s="22"/>
      <c r="O2956" s="23"/>
      <c r="P2956" s="23"/>
      <c r="Q2956" s="216"/>
      <c r="R2956" s="216"/>
      <c r="S2956" s="877"/>
      <c r="T2956" s="877"/>
      <c r="U2956" s="877"/>
      <c r="V2956" s="22"/>
      <c r="X2956" s="16">
        <f t="shared" si="456"/>
        <v>0</v>
      </c>
      <c r="Y2956" s="16">
        <f t="shared" si="458"/>
        <v>0</v>
      </c>
    </row>
    <row r="2957" spans="2:25" s="39" customFormat="1" ht="15.95" customHeight="1">
      <c r="B2957" s="21"/>
      <c r="C2957" s="23"/>
      <c r="D2957" s="380"/>
      <c r="E2957" s="23"/>
      <c r="F2957" s="22"/>
      <c r="G2957" s="22"/>
      <c r="H2957" s="22"/>
      <c r="I2957" s="22"/>
      <c r="J2957" s="22"/>
      <c r="K2957" s="22"/>
      <c r="L2957" s="22"/>
      <c r="M2957" s="22"/>
      <c r="N2957" s="22"/>
      <c r="O2957" s="23"/>
      <c r="P2957" s="23"/>
      <c r="Q2957" s="216"/>
      <c r="R2957" s="216"/>
      <c r="S2957" s="877"/>
      <c r="T2957" s="877"/>
      <c r="U2957" s="877"/>
      <c r="V2957" s="22"/>
      <c r="X2957" s="16">
        <f t="shared" si="456"/>
        <v>0</v>
      </c>
      <c r="Y2957" s="16">
        <f t="shared" si="458"/>
        <v>0</v>
      </c>
    </row>
    <row r="2958" spans="2:25" s="39" customFormat="1" ht="15.95" customHeight="1">
      <c r="B2958" s="21"/>
      <c r="C2958" s="23"/>
      <c r="D2958" s="380"/>
      <c r="E2958" s="23"/>
      <c r="F2958" s="22"/>
      <c r="G2958" s="22"/>
      <c r="H2958" s="22"/>
      <c r="I2958" s="22"/>
      <c r="J2958" s="22"/>
      <c r="K2958" s="22"/>
      <c r="L2958" s="22"/>
      <c r="M2958" s="22"/>
      <c r="N2958" s="22"/>
      <c r="O2958" s="23"/>
      <c r="P2958" s="23"/>
      <c r="Q2958" s="216"/>
      <c r="R2958" s="216"/>
      <c r="S2958" s="877"/>
      <c r="T2958" s="877"/>
      <c r="U2958" s="877"/>
      <c r="V2958" s="22"/>
      <c r="X2958" s="16">
        <f t="shared" si="456"/>
        <v>0</v>
      </c>
      <c r="Y2958" s="16">
        <f t="shared" si="458"/>
        <v>0</v>
      </c>
    </row>
    <row r="2959" spans="2:25" s="39" customFormat="1" ht="15.95" customHeight="1">
      <c r="B2959" s="21"/>
      <c r="C2959" s="23"/>
      <c r="D2959" s="380"/>
      <c r="E2959" s="23"/>
      <c r="F2959" s="22"/>
      <c r="G2959" s="22"/>
      <c r="H2959" s="22"/>
      <c r="I2959" s="22"/>
      <c r="J2959" s="22"/>
      <c r="K2959" s="22"/>
      <c r="L2959" s="22"/>
      <c r="M2959" s="22"/>
      <c r="N2959" s="22"/>
      <c r="O2959" s="23"/>
      <c r="P2959" s="23"/>
      <c r="Q2959" s="216"/>
      <c r="R2959" s="216"/>
      <c r="S2959" s="877"/>
      <c r="T2959" s="877"/>
      <c r="U2959" s="877"/>
      <c r="V2959" s="22"/>
      <c r="X2959" s="16">
        <f t="shared" si="456"/>
        <v>0</v>
      </c>
      <c r="Y2959" s="16">
        <f t="shared" si="458"/>
        <v>0</v>
      </c>
    </row>
    <row r="2960" spans="2:25" s="39" customFormat="1" ht="15.95" customHeight="1">
      <c r="B2960" s="21"/>
      <c r="C2960" s="23"/>
      <c r="D2960" s="380"/>
      <c r="E2960" s="23"/>
      <c r="F2960" s="22"/>
      <c r="G2960" s="22"/>
      <c r="H2960" s="22"/>
      <c r="I2960" s="22"/>
      <c r="J2960" s="22"/>
      <c r="K2960" s="22"/>
      <c r="L2960" s="22"/>
      <c r="M2960" s="22"/>
      <c r="N2960" s="22"/>
      <c r="O2960" s="23"/>
      <c r="P2960" s="23"/>
      <c r="Q2960" s="216"/>
      <c r="R2960" s="216"/>
      <c r="S2960" s="877"/>
      <c r="T2960" s="877"/>
      <c r="U2960" s="877"/>
      <c r="V2960" s="22"/>
      <c r="X2960" s="16">
        <f t="shared" si="456"/>
        <v>0</v>
      </c>
      <c r="Y2960" s="16">
        <f t="shared" si="458"/>
        <v>0</v>
      </c>
    </row>
    <row r="2961" spans="2:25" s="39" customFormat="1" ht="15.95" customHeight="1">
      <c r="B2961" s="21"/>
      <c r="C2961" s="23"/>
      <c r="D2961" s="380"/>
      <c r="E2961" s="23"/>
      <c r="F2961" s="22"/>
      <c r="G2961" s="22"/>
      <c r="H2961" s="22"/>
      <c r="I2961" s="22"/>
      <c r="J2961" s="22"/>
      <c r="K2961" s="22"/>
      <c r="L2961" s="22"/>
      <c r="M2961" s="22"/>
      <c r="N2961" s="22"/>
      <c r="O2961" s="23"/>
      <c r="P2961" s="23"/>
      <c r="Q2961" s="216"/>
      <c r="R2961" s="216"/>
      <c r="S2961" s="877"/>
      <c r="T2961" s="877"/>
      <c r="U2961" s="877"/>
      <c r="V2961" s="22"/>
      <c r="X2961" s="16">
        <f t="shared" si="456"/>
        <v>0</v>
      </c>
      <c r="Y2961" s="16">
        <f t="shared" si="458"/>
        <v>0</v>
      </c>
    </row>
    <row r="2962" spans="2:25" s="39" customFormat="1" ht="15.95" customHeight="1">
      <c r="B2962" s="21"/>
      <c r="C2962" s="23"/>
      <c r="D2962" s="380"/>
      <c r="E2962" s="23"/>
      <c r="F2962" s="22"/>
      <c r="G2962" s="22"/>
      <c r="H2962" s="22"/>
      <c r="I2962" s="22"/>
      <c r="J2962" s="22"/>
      <c r="K2962" s="22"/>
      <c r="L2962" s="22"/>
      <c r="M2962" s="22"/>
      <c r="N2962" s="22"/>
      <c r="O2962" s="23"/>
      <c r="P2962" s="23"/>
      <c r="Q2962" s="216"/>
      <c r="R2962" s="216"/>
      <c r="S2962" s="877"/>
      <c r="T2962" s="877"/>
      <c r="U2962" s="877"/>
      <c r="V2962" s="22"/>
      <c r="X2962" s="16">
        <f t="shared" si="456"/>
        <v>0</v>
      </c>
      <c r="Y2962" s="16">
        <f t="shared" si="458"/>
        <v>0</v>
      </c>
    </row>
    <row r="2963" spans="2:25" s="39" customFormat="1" ht="15.95" customHeight="1">
      <c r="B2963" s="21"/>
      <c r="C2963" s="23"/>
      <c r="D2963" s="380"/>
      <c r="E2963" s="23"/>
      <c r="F2963" s="22"/>
      <c r="G2963" s="22"/>
      <c r="H2963" s="22"/>
      <c r="I2963" s="22"/>
      <c r="J2963" s="22"/>
      <c r="K2963" s="22"/>
      <c r="L2963" s="22"/>
      <c r="M2963" s="22"/>
      <c r="N2963" s="22"/>
      <c r="O2963" s="23"/>
      <c r="P2963" s="23"/>
      <c r="Q2963" s="216"/>
      <c r="R2963" s="216"/>
      <c r="S2963" s="877"/>
      <c r="T2963" s="877"/>
      <c r="U2963" s="877"/>
      <c r="V2963" s="22"/>
      <c r="X2963" s="16">
        <f t="shared" si="456"/>
        <v>0</v>
      </c>
      <c r="Y2963" s="16">
        <f t="shared" si="458"/>
        <v>0</v>
      </c>
    </row>
    <row r="2964" spans="2:25" s="39" customFormat="1" ht="15.95" customHeight="1">
      <c r="B2964" s="21"/>
      <c r="C2964" s="23"/>
      <c r="D2964" s="380"/>
      <c r="E2964" s="23"/>
      <c r="F2964" s="22"/>
      <c r="G2964" s="22"/>
      <c r="H2964" s="22"/>
      <c r="I2964" s="22"/>
      <c r="J2964" s="22"/>
      <c r="K2964" s="22"/>
      <c r="L2964" s="22"/>
      <c r="M2964" s="22"/>
      <c r="N2964" s="22"/>
      <c r="O2964" s="23"/>
      <c r="P2964" s="23"/>
      <c r="Q2964" s="216"/>
      <c r="R2964" s="216"/>
      <c r="S2964" s="877"/>
      <c r="T2964" s="877"/>
      <c r="U2964" s="877"/>
      <c r="V2964" s="22"/>
      <c r="X2964" s="16">
        <f t="shared" si="456"/>
        <v>0</v>
      </c>
      <c r="Y2964" s="16">
        <f t="shared" si="458"/>
        <v>0</v>
      </c>
    </row>
    <row r="2965" spans="2:25" s="39" customFormat="1" ht="15.95" customHeight="1">
      <c r="B2965" s="21"/>
      <c r="C2965" s="23"/>
      <c r="D2965" s="380"/>
      <c r="E2965" s="23"/>
      <c r="F2965" s="22"/>
      <c r="G2965" s="22"/>
      <c r="H2965" s="22"/>
      <c r="I2965" s="22"/>
      <c r="J2965" s="22"/>
      <c r="K2965" s="22"/>
      <c r="L2965" s="22"/>
      <c r="M2965" s="22"/>
      <c r="N2965" s="22"/>
      <c r="O2965" s="23"/>
      <c r="P2965" s="23"/>
      <c r="Q2965" s="216"/>
      <c r="R2965" s="216"/>
      <c r="S2965" s="877"/>
      <c r="T2965" s="877"/>
      <c r="U2965" s="877"/>
      <c r="V2965" s="22"/>
      <c r="X2965" s="16">
        <f t="shared" ref="X2965:X3028" si="459">SUM(J2965:L2965)</f>
        <v>0</v>
      </c>
      <c r="Y2965" s="16">
        <f t="shared" si="458"/>
        <v>0</v>
      </c>
    </row>
    <row r="2966" spans="2:25" s="39" customFormat="1" ht="15.95" customHeight="1">
      <c r="B2966" s="21"/>
      <c r="C2966" s="23"/>
      <c r="D2966" s="380"/>
      <c r="E2966" s="23"/>
      <c r="F2966" s="22"/>
      <c r="G2966" s="22"/>
      <c r="H2966" s="22"/>
      <c r="I2966" s="22"/>
      <c r="J2966" s="22"/>
      <c r="K2966" s="22"/>
      <c r="L2966" s="22"/>
      <c r="M2966" s="22"/>
      <c r="N2966" s="22"/>
      <c r="O2966" s="23"/>
      <c r="P2966" s="23"/>
      <c r="Q2966" s="216"/>
      <c r="R2966" s="216"/>
      <c r="S2966" s="877"/>
      <c r="T2966" s="877"/>
      <c r="U2966" s="877"/>
      <c r="V2966" s="22"/>
      <c r="X2966" s="16">
        <f t="shared" si="459"/>
        <v>0</v>
      </c>
      <c r="Y2966" s="16">
        <f t="shared" si="458"/>
        <v>0</v>
      </c>
    </row>
    <row r="2967" spans="2:25" s="39" customFormat="1" ht="15.95" customHeight="1">
      <c r="B2967" s="21"/>
      <c r="C2967" s="23"/>
      <c r="D2967" s="380"/>
      <c r="E2967" s="23"/>
      <c r="F2967" s="22"/>
      <c r="G2967" s="22"/>
      <c r="H2967" s="22"/>
      <c r="I2967" s="22"/>
      <c r="J2967" s="22"/>
      <c r="K2967" s="22"/>
      <c r="L2967" s="22"/>
      <c r="M2967" s="22"/>
      <c r="N2967" s="22"/>
      <c r="O2967" s="23"/>
      <c r="P2967" s="23"/>
      <c r="Q2967" s="216"/>
      <c r="R2967" s="216"/>
      <c r="S2967" s="877"/>
      <c r="T2967" s="877"/>
      <c r="U2967" s="877"/>
      <c r="V2967" s="22"/>
      <c r="X2967" s="16">
        <f t="shared" si="459"/>
        <v>0</v>
      </c>
      <c r="Y2967" s="16">
        <f t="shared" si="458"/>
        <v>0</v>
      </c>
    </row>
    <row r="2968" spans="2:25" s="39" customFormat="1" ht="15.95" customHeight="1">
      <c r="B2968" s="21"/>
      <c r="C2968" s="23"/>
      <c r="D2968" s="380"/>
      <c r="E2968" s="23"/>
      <c r="F2968" s="22"/>
      <c r="G2968" s="22"/>
      <c r="H2968" s="22"/>
      <c r="I2968" s="22"/>
      <c r="J2968" s="22"/>
      <c r="K2968" s="22"/>
      <c r="L2968" s="22"/>
      <c r="M2968" s="22"/>
      <c r="N2968" s="22"/>
      <c r="O2968" s="23"/>
      <c r="P2968" s="23"/>
      <c r="Q2968" s="216"/>
      <c r="R2968" s="216"/>
      <c r="S2968" s="877"/>
      <c r="T2968" s="877"/>
      <c r="U2968" s="877"/>
      <c r="V2968" s="22"/>
      <c r="X2968" s="16">
        <f t="shared" si="459"/>
        <v>0</v>
      </c>
      <c r="Y2968" s="16">
        <f t="shared" si="458"/>
        <v>0</v>
      </c>
    </row>
    <row r="2969" spans="2:25" s="39" customFormat="1" ht="15.95" customHeight="1">
      <c r="B2969" s="21"/>
      <c r="C2969" s="23"/>
      <c r="D2969" s="380"/>
      <c r="E2969" s="23"/>
      <c r="F2969" s="22"/>
      <c r="G2969" s="22"/>
      <c r="H2969" s="22"/>
      <c r="I2969" s="22"/>
      <c r="J2969" s="22"/>
      <c r="K2969" s="22"/>
      <c r="L2969" s="22"/>
      <c r="M2969" s="22"/>
      <c r="N2969" s="22"/>
      <c r="O2969" s="23"/>
      <c r="P2969" s="23"/>
      <c r="Q2969" s="216"/>
      <c r="R2969" s="216"/>
      <c r="S2969" s="877"/>
      <c r="T2969" s="877"/>
      <c r="U2969" s="877"/>
      <c r="V2969" s="22"/>
      <c r="X2969" s="16">
        <f t="shared" si="459"/>
        <v>0</v>
      </c>
      <c r="Y2969" s="16">
        <f t="shared" si="458"/>
        <v>0</v>
      </c>
    </row>
    <row r="2970" spans="2:25" s="39" customFormat="1" ht="15.95" customHeight="1">
      <c r="B2970" s="21"/>
      <c r="C2970" s="23"/>
      <c r="D2970" s="380"/>
      <c r="E2970" s="23"/>
      <c r="F2970" s="22"/>
      <c r="G2970" s="22"/>
      <c r="H2970" s="22"/>
      <c r="I2970" s="22"/>
      <c r="J2970" s="22"/>
      <c r="K2970" s="22"/>
      <c r="L2970" s="22"/>
      <c r="M2970" s="22"/>
      <c r="N2970" s="22"/>
      <c r="O2970" s="23"/>
      <c r="P2970" s="23"/>
      <c r="Q2970" s="216"/>
      <c r="R2970" s="216"/>
      <c r="S2970" s="877"/>
      <c r="T2970" s="877"/>
      <c r="U2970" s="877"/>
      <c r="V2970" s="22"/>
      <c r="X2970" s="16">
        <f t="shared" si="459"/>
        <v>0</v>
      </c>
      <c r="Y2970" s="16">
        <f t="shared" si="458"/>
        <v>0</v>
      </c>
    </row>
    <row r="2971" spans="2:25" s="39" customFormat="1" ht="15.95" customHeight="1">
      <c r="B2971" s="21"/>
      <c r="C2971" s="23"/>
      <c r="D2971" s="380"/>
      <c r="E2971" s="23"/>
      <c r="F2971" s="22"/>
      <c r="G2971" s="22"/>
      <c r="H2971" s="22"/>
      <c r="I2971" s="22"/>
      <c r="J2971" s="22"/>
      <c r="K2971" s="22"/>
      <c r="L2971" s="22"/>
      <c r="M2971" s="22"/>
      <c r="N2971" s="22"/>
      <c r="O2971" s="23"/>
      <c r="P2971" s="23"/>
      <c r="Q2971" s="216"/>
      <c r="R2971" s="216"/>
      <c r="S2971" s="877"/>
      <c r="T2971" s="877"/>
      <c r="U2971" s="877"/>
      <c r="V2971" s="22"/>
      <c r="X2971" s="16">
        <f t="shared" si="459"/>
        <v>0</v>
      </c>
      <c r="Y2971" s="16">
        <f t="shared" si="458"/>
        <v>0</v>
      </c>
    </row>
    <row r="2972" spans="2:25" s="39" customFormat="1" ht="15.95" customHeight="1">
      <c r="B2972" s="21"/>
      <c r="C2972" s="23"/>
      <c r="D2972" s="380"/>
      <c r="E2972" s="23"/>
      <c r="F2972" s="22"/>
      <c r="G2972" s="22"/>
      <c r="H2972" s="22"/>
      <c r="I2972" s="22"/>
      <c r="J2972" s="22"/>
      <c r="K2972" s="22"/>
      <c r="L2972" s="22"/>
      <c r="M2972" s="22"/>
      <c r="N2972" s="22"/>
      <c r="O2972" s="23"/>
      <c r="P2972" s="23"/>
      <c r="Q2972" s="216"/>
      <c r="R2972" s="216"/>
      <c r="S2972" s="877"/>
      <c r="T2972" s="877"/>
      <c r="U2972" s="877"/>
      <c r="V2972" s="22"/>
      <c r="X2972" s="16">
        <f t="shared" si="459"/>
        <v>0</v>
      </c>
      <c r="Y2972" s="16">
        <f t="shared" si="458"/>
        <v>0</v>
      </c>
    </row>
    <row r="2973" spans="2:25" s="39" customFormat="1" ht="15.95" customHeight="1">
      <c r="B2973" s="21"/>
      <c r="C2973" s="23"/>
      <c r="D2973" s="380"/>
      <c r="E2973" s="23"/>
      <c r="F2973" s="22"/>
      <c r="G2973" s="22"/>
      <c r="H2973" s="22"/>
      <c r="I2973" s="22"/>
      <c r="J2973" s="22"/>
      <c r="K2973" s="22"/>
      <c r="L2973" s="22"/>
      <c r="M2973" s="22"/>
      <c r="N2973" s="22"/>
      <c r="O2973" s="23"/>
      <c r="P2973" s="23"/>
      <c r="Q2973" s="216"/>
      <c r="R2973" s="216"/>
      <c r="S2973" s="877"/>
      <c r="T2973" s="877"/>
      <c r="U2973" s="877"/>
      <c r="V2973" s="22"/>
      <c r="X2973" s="16">
        <f t="shared" si="459"/>
        <v>0</v>
      </c>
      <c r="Y2973" s="16">
        <f t="shared" si="458"/>
        <v>0</v>
      </c>
    </row>
    <row r="2974" spans="2:25" s="39" customFormat="1" ht="15.95" customHeight="1">
      <c r="B2974" s="21"/>
      <c r="C2974" s="23"/>
      <c r="D2974" s="380"/>
      <c r="E2974" s="23"/>
      <c r="F2974" s="22"/>
      <c r="G2974" s="22"/>
      <c r="H2974" s="22"/>
      <c r="I2974" s="22"/>
      <c r="J2974" s="22"/>
      <c r="K2974" s="22"/>
      <c r="L2974" s="22"/>
      <c r="M2974" s="22"/>
      <c r="N2974" s="22"/>
      <c r="O2974" s="23"/>
      <c r="P2974" s="23"/>
      <c r="Q2974" s="216"/>
      <c r="R2974" s="216"/>
      <c r="S2974" s="877"/>
      <c r="T2974" s="877"/>
      <c r="U2974" s="877"/>
      <c r="V2974" s="22"/>
      <c r="X2974" s="16">
        <f t="shared" si="459"/>
        <v>0</v>
      </c>
      <c r="Y2974" s="16">
        <f t="shared" si="458"/>
        <v>0</v>
      </c>
    </row>
    <row r="2975" spans="2:25" s="39" customFormat="1" ht="15.95" customHeight="1">
      <c r="B2975" s="21"/>
      <c r="C2975" s="23"/>
      <c r="D2975" s="380"/>
      <c r="E2975" s="23"/>
      <c r="F2975" s="22"/>
      <c r="G2975" s="22"/>
      <c r="H2975" s="22"/>
      <c r="I2975" s="22"/>
      <c r="J2975" s="22"/>
      <c r="K2975" s="22"/>
      <c r="L2975" s="22"/>
      <c r="M2975" s="22"/>
      <c r="N2975" s="22"/>
      <c r="O2975" s="23"/>
      <c r="P2975" s="23"/>
      <c r="Q2975" s="216"/>
      <c r="R2975" s="216"/>
      <c r="S2975" s="877"/>
      <c r="T2975" s="877"/>
      <c r="U2975" s="877"/>
      <c r="V2975" s="22"/>
      <c r="X2975" s="16">
        <f t="shared" si="459"/>
        <v>0</v>
      </c>
      <c r="Y2975" s="16">
        <f t="shared" si="458"/>
        <v>0</v>
      </c>
    </row>
    <row r="2976" spans="2:25" s="39" customFormat="1" ht="15.95" customHeight="1">
      <c r="B2976" s="21"/>
      <c r="C2976" s="23"/>
      <c r="D2976" s="380"/>
      <c r="E2976" s="23"/>
      <c r="F2976" s="22"/>
      <c r="G2976" s="22"/>
      <c r="H2976" s="22"/>
      <c r="I2976" s="22"/>
      <c r="J2976" s="22"/>
      <c r="K2976" s="22"/>
      <c r="L2976" s="22"/>
      <c r="M2976" s="22"/>
      <c r="N2976" s="22"/>
      <c r="O2976" s="23"/>
      <c r="P2976" s="23"/>
      <c r="Q2976" s="216"/>
      <c r="R2976" s="216"/>
      <c r="S2976" s="877"/>
      <c r="T2976" s="877"/>
      <c r="U2976" s="877"/>
      <c r="V2976" s="22"/>
      <c r="X2976" s="16">
        <f t="shared" si="459"/>
        <v>0</v>
      </c>
      <c r="Y2976" s="16">
        <f t="shared" si="458"/>
        <v>0</v>
      </c>
    </row>
    <row r="2977" spans="2:25" s="39" customFormat="1" ht="15.95" customHeight="1">
      <c r="B2977" s="21"/>
      <c r="C2977" s="23"/>
      <c r="D2977" s="380"/>
      <c r="E2977" s="23"/>
      <c r="F2977" s="22"/>
      <c r="G2977" s="22"/>
      <c r="H2977" s="22"/>
      <c r="I2977" s="22"/>
      <c r="J2977" s="22"/>
      <c r="K2977" s="22"/>
      <c r="L2977" s="22"/>
      <c r="M2977" s="22"/>
      <c r="N2977" s="22"/>
      <c r="O2977" s="23"/>
      <c r="P2977" s="23"/>
      <c r="Q2977" s="216"/>
      <c r="R2977" s="216"/>
      <c r="S2977" s="877"/>
      <c r="T2977" s="877"/>
      <c r="U2977" s="877"/>
      <c r="V2977" s="22"/>
      <c r="X2977" s="16">
        <f t="shared" si="459"/>
        <v>0</v>
      </c>
      <c r="Y2977" s="16">
        <f t="shared" si="458"/>
        <v>0</v>
      </c>
    </row>
    <row r="2978" spans="2:25" s="39" customFormat="1" ht="15.95" customHeight="1">
      <c r="B2978" s="21"/>
      <c r="C2978" s="23"/>
      <c r="D2978" s="380"/>
      <c r="E2978" s="23"/>
      <c r="F2978" s="22"/>
      <c r="G2978" s="22"/>
      <c r="H2978" s="22"/>
      <c r="I2978" s="22"/>
      <c r="J2978" s="22"/>
      <c r="K2978" s="22"/>
      <c r="L2978" s="22"/>
      <c r="M2978" s="22"/>
      <c r="N2978" s="22"/>
      <c r="O2978" s="23"/>
      <c r="P2978" s="23"/>
      <c r="Q2978" s="216"/>
      <c r="R2978" s="216"/>
      <c r="S2978" s="877"/>
      <c r="T2978" s="877"/>
      <c r="U2978" s="877"/>
      <c r="V2978" s="22"/>
      <c r="X2978" s="16">
        <f t="shared" si="459"/>
        <v>0</v>
      </c>
      <c r="Y2978" s="16">
        <f t="shared" si="458"/>
        <v>0</v>
      </c>
    </row>
    <row r="2979" spans="2:25" s="39" customFormat="1" ht="15.95" customHeight="1">
      <c r="B2979" s="21"/>
      <c r="C2979" s="23"/>
      <c r="D2979" s="380"/>
      <c r="E2979" s="23"/>
      <c r="F2979" s="22"/>
      <c r="G2979" s="22"/>
      <c r="H2979" s="22"/>
      <c r="I2979" s="22"/>
      <c r="J2979" s="22"/>
      <c r="K2979" s="22"/>
      <c r="L2979" s="22"/>
      <c r="M2979" s="22"/>
      <c r="N2979" s="22"/>
      <c r="O2979" s="23"/>
      <c r="P2979" s="23"/>
      <c r="Q2979" s="216"/>
      <c r="R2979" s="216"/>
      <c r="S2979" s="877"/>
      <c r="T2979" s="877"/>
      <c r="U2979" s="877"/>
      <c r="V2979" s="22"/>
      <c r="X2979" s="16">
        <f t="shared" si="459"/>
        <v>0</v>
      </c>
      <c r="Y2979" s="16">
        <f t="shared" si="458"/>
        <v>0</v>
      </c>
    </row>
    <row r="2980" spans="2:25" s="39" customFormat="1" ht="15.95" customHeight="1">
      <c r="B2980" s="21"/>
      <c r="C2980" s="23"/>
      <c r="D2980" s="380"/>
      <c r="E2980" s="23"/>
      <c r="F2980" s="22"/>
      <c r="G2980" s="22"/>
      <c r="H2980" s="22"/>
      <c r="I2980" s="22"/>
      <c r="J2980" s="22"/>
      <c r="K2980" s="22"/>
      <c r="L2980" s="22"/>
      <c r="M2980" s="22"/>
      <c r="N2980" s="22"/>
      <c r="O2980" s="23"/>
      <c r="P2980" s="23"/>
      <c r="Q2980" s="216"/>
      <c r="R2980" s="216"/>
      <c r="S2980" s="877"/>
      <c r="T2980" s="877"/>
      <c r="U2980" s="877"/>
      <c r="V2980" s="22"/>
      <c r="X2980" s="16">
        <f t="shared" si="459"/>
        <v>0</v>
      </c>
      <c r="Y2980" s="16">
        <f t="shared" si="458"/>
        <v>0</v>
      </c>
    </row>
    <row r="2981" spans="2:25" s="39" customFormat="1" ht="15.95" customHeight="1">
      <c r="B2981" s="21"/>
      <c r="C2981" s="23"/>
      <c r="D2981" s="380"/>
      <c r="E2981" s="23"/>
      <c r="F2981" s="22"/>
      <c r="G2981" s="22"/>
      <c r="H2981" s="22"/>
      <c r="I2981" s="22"/>
      <c r="J2981" s="22"/>
      <c r="K2981" s="22"/>
      <c r="L2981" s="22"/>
      <c r="M2981" s="22"/>
      <c r="N2981" s="22"/>
      <c r="O2981" s="23"/>
      <c r="P2981" s="23"/>
      <c r="Q2981" s="216"/>
      <c r="R2981" s="216"/>
      <c r="S2981" s="877"/>
      <c r="T2981" s="877"/>
      <c r="U2981" s="877"/>
      <c r="V2981" s="22"/>
      <c r="X2981" s="16">
        <f t="shared" si="459"/>
        <v>0</v>
      </c>
      <c r="Y2981" s="16">
        <f t="shared" si="458"/>
        <v>0</v>
      </c>
    </row>
    <row r="2982" spans="2:25" s="39" customFormat="1" ht="15.95" customHeight="1">
      <c r="B2982" s="21"/>
      <c r="C2982" s="23"/>
      <c r="D2982" s="380"/>
      <c r="E2982" s="23"/>
      <c r="F2982" s="22"/>
      <c r="G2982" s="22"/>
      <c r="H2982" s="22"/>
      <c r="I2982" s="22"/>
      <c r="J2982" s="22"/>
      <c r="K2982" s="22"/>
      <c r="L2982" s="22"/>
      <c r="M2982" s="22"/>
      <c r="N2982" s="22"/>
      <c r="O2982" s="23"/>
      <c r="P2982" s="23"/>
      <c r="Q2982" s="216"/>
      <c r="R2982" s="216"/>
      <c r="S2982" s="877"/>
      <c r="T2982" s="877"/>
      <c r="U2982" s="877"/>
      <c r="V2982" s="22"/>
      <c r="X2982" s="16">
        <f t="shared" si="459"/>
        <v>0</v>
      </c>
      <c r="Y2982" s="16">
        <f t="shared" si="458"/>
        <v>0</v>
      </c>
    </row>
    <row r="2983" spans="2:25" s="39" customFormat="1" ht="15.95" customHeight="1">
      <c r="B2983" s="21"/>
      <c r="C2983" s="23"/>
      <c r="D2983" s="380"/>
      <c r="E2983" s="23"/>
      <c r="F2983" s="22"/>
      <c r="G2983" s="22"/>
      <c r="H2983" s="22"/>
      <c r="I2983" s="22"/>
      <c r="J2983" s="22"/>
      <c r="K2983" s="22"/>
      <c r="L2983" s="22"/>
      <c r="M2983" s="22"/>
      <c r="N2983" s="22"/>
      <c r="O2983" s="23"/>
      <c r="P2983" s="23"/>
      <c r="Q2983" s="216"/>
      <c r="R2983" s="216"/>
      <c r="S2983" s="877"/>
      <c r="T2983" s="877"/>
      <c r="U2983" s="877"/>
      <c r="V2983" s="22"/>
      <c r="X2983" s="16">
        <f t="shared" si="459"/>
        <v>0</v>
      </c>
      <c r="Y2983" s="16">
        <f t="shared" ref="Y2983:Y3014" si="460">X2983-M2983</f>
        <v>0</v>
      </c>
    </row>
    <row r="2984" spans="2:25" s="39" customFormat="1" ht="15.95" customHeight="1">
      <c r="B2984" s="21"/>
      <c r="C2984" s="23"/>
      <c r="D2984" s="380"/>
      <c r="E2984" s="23"/>
      <c r="F2984" s="22"/>
      <c r="G2984" s="22"/>
      <c r="H2984" s="22"/>
      <c r="I2984" s="22"/>
      <c r="J2984" s="22"/>
      <c r="K2984" s="22"/>
      <c r="L2984" s="22"/>
      <c r="M2984" s="22"/>
      <c r="N2984" s="22"/>
      <c r="O2984" s="23"/>
      <c r="P2984" s="23"/>
      <c r="Q2984" s="216"/>
      <c r="R2984" s="216"/>
      <c r="S2984" s="877"/>
      <c r="T2984" s="877"/>
      <c r="U2984" s="877"/>
      <c r="V2984" s="22"/>
      <c r="X2984" s="16">
        <f t="shared" si="459"/>
        <v>0</v>
      </c>
      <c r="Y2984" s="16">
        <f t="shared" si="460"/>
        <v>0</v>
      </c>
    </row>
    <row r="2985" spans="2:25" s="39" customFormat="1" ht="15.95" customHeight="1">
      <c r="B2985" s="21"/>
      <c r="C2985" s="23"/>
      <c r="D2985" s="380"/>
      <c r="E2985" s="23"/>
      <c r="F2985" s="22"/>
      <c r="G2985" s="22"/>
      <c r="H2985" s="22"/>
      <c r="I2985" s="22"/>
      <c r="J2985" s="22"/>
      <c r="K2985" s="22"/>
      <c r="L2985" s="22"/>
      <c r="M2985" s="22"/>
      <c r="N2985" s="22"/>
      <c r="O2985" s="23"/>
      <c r="P2985" s="23"/>
      <c r="Q2985" s="216"/>
      <c r="R2985" s="216"/>
      <c r="S2985" s="877"/>
      <c r="T2985" s="877"/>
      <c r="U2985" s="877"/>
      <c r="V2985" s="22"/>
      <c r="X2985" s="16">
        <f t="shared" si="459"/>
        <v>0</v>
      </c>
      <c r="Y2985" s="16">
        <f t="shared" si="460"/>
        <v>0</v>
      </c>
    </row>
    <row r="2986" spans="2:25" s="39" customFormat="1" ht="15.95" customHeight="1">
      <c r="B2986" s="21"/>
      <c r="C2986" s="23"/>
      <c r="D2986" s="380"/>
      <c r="E2986" s="23"/>
      <c r="F2986" s="22"/>
      <c r="G2986" s="22"/>
      <c r="H2986" s="22"/>
      <c r="I2986" s="22"/>
      <c r="J2986" s="22"/>
      <c r="K2986" s="22"/>
      <c r="L2986" s="22"/>
      <c r="M2986" s="22"/>
      <c r="N2986" s="22"/>
      <c r="O2986" s="23"/>
      <c r="P2986" s="23"/>
      <c r="Q2986" s="216"/>
      <c r="R2986" s="216"/>
      <c r="S2986" s="877"/>
      <c r="T2986" s="877"/>
      <c r="U2986" s="877"/>
      <c r="V2986" s="22"/>
      <c r="X2986" s="16">
        <f t="shared" si="459"/>
        <v>0</v>
      </c>
      <c r="Y2986" s="16">
        <f t="shared" si="460"/>
        <v>0</v>
      </c>
    </row>
    <row r="2987" spans="2:25" s="39" customFormat="1" ht="15.95" customHeight="1">
      <c r="B2987" s="21"/>
      <c r="C2987" s="23"/>
      <c r="D2987" s="380"/>
      <c r="E2987" s="23"/>
      <c r="F2987" s="22"/>
      <c r="G2987" s="22"/>
      <c r="H2987" s="22"/>
      <c r="I2987" s="22"/>
      <c r="J2987" s="22"/>
      <c r="K2987" s="22"/>
      <c r="L2987" s="22"/>
      <c r="M2987" s="22"/>
      <c r="N2987" s="22"/>
      <c r="O2987" s="23"/>
      <c r="P2987" s="23"/>
      <c r="Q2987" s="216"/>
      <c r="R2987" s="216"/>
      <c r="S2987" s="877"/>
      <c r="T2987" s="877"/>
      <c r="U2987" s="877"/>
      <c r="V2987" s="22"/>
      <c r="X2987" s="16">
        <f t="shared" si="459"/>
        <v>0</v>
      </c>
      <c r="Y2987" s="16">
        <f t="shared" si="460"/>
        <v>0</v>
      </c>
    </row>
    <row r="2988" spans="2:25" s="39" customFormat="1" ht="15.95" customHeight="1">
      <c r="B2988" s="21"/>
      <c r="C2988" s="23"/>
      <c r="D2988" s="380"/>
      <c r="E2988" s="23"/>
      <c r="F2988" s="22"/>
      <c r="G2988" s="22"/>
      <c r="H2988" s="22"/>
      <c r="I2988" s="22"/>
      <c r="J2988" s="22"/>
      <c r="K2988" s="22"/>
      <c r="L2988" s="22"/>
      <c r="M2988" s="22"/>
      <c r="N2988" s="22"/>
      <c r="O2988" s="23"/>
      <c r="P2988" s="23"/>
      <c r="Q2988" s="216"/>
      <c r="R2988" s="216"/>
      <c r="S2988" s="877"/>
      <c r="T2988" s="877"/>
      <c r="U2988" s="877"/>
      <c r="V2988" s="22"/>
      <c r="X2988" s="16">
        <f t="shared" si="459"/>
        <v>0</v>
      </c>
      <c r="Y2988" s="16">
        <f t="shared" si="460"/>
        <v>0</v>
      </c>
    </row>
    <row r="2989" spans="2:25" s="39" customFormat="1" ht="15.95" customHeight="1">
      <c r="B2989" s="21"/>
      <c r="C2989" s="23"/>
      <c r="D2989" s="380"/>
      <c r="E2989" s="23"/>
      <c r="F2989" s="22"/>
      <c r="G2989" s="22"/>
      <c r="H2989" s="22"/>
      <c r="I2989" s="22"/>
      <c r="J2989" s="22"/>
      <c r="K2989" s="22"/>
      <c r="L2989" s="22"/>
      <c r="M2989" s="22"/>
      <c r="N2989" s="22"/>
      <c r="O2989" s="23"/>
      <c r="P2989" s="23"/>
      <c r="Q2989" s="216"/>
      <c r="R2989" s="216"/>
      <c r="S2989" s="877"/>
      <c r="T2989" s="877"/>
      <c r="U2989" s="877"/>
      <c r="V2989" s="22"/>
      <c r="X2989" s="16">
        <f t="shared" si="459"/>
        <v>0</v>
      </c>
      <c r="Y2989" s="16">
        <f t="shared" si="460"/>
        <v>0</v>
      </c>
    </row>
    <row r="2990" spans="2:25" s="39" customFormat="1" ht="15.95" customHeight="1">
      <c r="B2990" s="21"/>
      <c r="C2990" s="23"/>
      <c r="D2990" s="380"/>
      <c r="E2990" s="23"/>
      <c r="F2990" s="22"/>
      <c r="G2990" s="22"/>
      <c r="H2990" s="22"/>
      <c r="I2990" s="22"/>
      <c r="J2990" s="22"/>
      <c r="K2990" s="22"/>
      <c r="L2990" s="22"/>
      <c r="M2990" s="22"/>
      <c r="N2990" s="22"/>
      <c r="O2990" s="23"/>
      <c r="P2990" s="23"/>
      <c r="Q2990" s="216"/>
      <c r="R2990" s="216"/>
      <c r="S2990" s="877"/>
      <c r="T2990" s="877"/>
      <c r="U2990" s="877"/>
      <c r="V2990" s="22"/>
      <c r="X2990" s="16">
        <f t="shared" si="459"/>
        <v>0</v>
      </c>
      <c r="Y2990" s="16">
        <f t="shared" si="460"/>
        <v>0</v>
      </c>
    </row>
    <row r="2991" spans="2:25" s="39" customFormat="1" ht="15.95" customHeight="1">
      <c r="B2991" s="21"/>
      <c r="C2991" s="23"/>
      <c r="D2991" s="380"/>
      <c r="E2991" s="23"/>
      <c r="F2991" s="22"/>
      <c r="G2991" s="22"/>
      <c r="H2991" s="22"/>
      <c r="I2991" s="22"/>
      <c r="J2991" s="22"/>
      <c r="K2991" s="22"/>
      <c r="L2991" s="22"/>
      <c r="M2991" s="22"/>
      <c r="N2991" s="22"/>
      <c r="O2991" s="23"/>
      <c r="P2991" s="23"/>
      <c r="Q2991" s="216"/>
      <c r="R2991" s="216"/>
      <c r="S2991" s="877"/>
      <c r="T2991" s="877"/>
      <c r="U2991" s="877"/>
      <c r="V2991" s="22"/>
      <c r="X2991" s="16">
        <f t="shared" si="459"/>
        <v>0</v>
      </c>
      <c r="Y2991" s="16">
        <f t="shared" si="460"/>
        <v>0</v>
      </c>
    </row>
    <row r="2992" spans="2:25" s="39" customFormat="1" ht="15.95" customHeight="1">
      <c r="B2992" s="21"/>
      <c r="C2992" s="23"/>
      <c r="D2992" s="380"/>
      <c r="E2992" s="23"/>
      <c r="F2992" s="22"/>
      <c r="G2992" s="22"/>
      <c r="H2992" s="22"/>
      <c r="I2992" s="22"/>
      <c r="J2992" s="22"/>
      <c r="K2992" s="22"/>
      <c r="L2992" s="22"/>
      <c r="M2992" s="22"/>
      <c r="N2992" s="22"/>
      <c r="O2992" s="23"/>
      <c r="P2992" s="23"/>
      <c r="Q2992" s="216"/>
      <c r="R2992" s="216"/>
      <c r="S2992" s="877"/>
      <c r="T2992" s="877"/>
      <c r="U2992" s="877"/>
      <c r="V2992" s="22"/>
      <c r="X2992" s="16">
        <f t="shared" si="459"/>
        <v>0</v>
      </c>
      <c r="Y2992" s="16">
        <f t="shared" si="460"/>
        <v>0</v>
      </c>
    </row>
    <row r="2993" spans="2:25" s="39" customFormat="1" ht="15.95" customHeight="1">
      <c r="B2993" s="21"/>
      <c r="C2993" s="23"/>
      <c r="D2993" s="380"/>
      <c r="E2993" s="23"/>
      <c r="F2993" s="22"/>
      <c r="G2993" s="22"/>
      <c r="H2993" s="22"/>
      <c r="I2993" s="22"/>
      <c r="J2993" s="22"/>
      <c r="K2993" s="22"/>
      <c r="L2993" s="22"/>
      <c r="M2993" s="22"/>
      <c r="N2993" s="22"/>
      <c r="O2993" s="23"/>
      <c r="P2993" s="23"/>
      <c r="Q2993" s="216"/>
      <c r="R2993" s="216"/>
      <c r="S2993" s="877"/>
      <c r="T2993" s="877"/>
      <c r="U2993" s="877"/>
      <c r="V2993" s="22"/>
      <c r="X2993" s="16">
        <f t="shared" si="459"/>
        <v>0</v>
      </c>
      <c r="Y2993" s="16">
        <f t="shared" si="460"/>
        <v>0</v>
      </c>
    </row>
    <row r="2994" spans="2:25" s="39" customFormat="1" ht="15.95" customHeight="1">
      <c r="B2994" s="21"/>
      <c r="C2994" s="23"/>
      <c r="D2994" s="380"/>
      <c r="E2994" s="23"/>
      <c r="F2994" s="22"/>
      <c r="G2994" s="22"/>
      <c r="H2994" s="22"/>
      <c r="I2994" s="22"/>
      <c r="J2994" s="22"/>
      <c r="K2994" s="22"/>
      <c r="L2994" s="22"/>
      <c r="M2994" s="22"/>
      <c r="N2994" s="22"/>
      <c r="O2994" s="23"/>
      <c r="P2994" s="23"/>
      <c r="Q2994" s="216"/>
      <c r="R2994" s="216"/>
      <c r="S2994" s="877"/>
      <c r="T2994" s="877"/>
      <c r="U2994" s="877"/>
      <c r="V2994" s="22"/>
      <c r="X2994" s="16">
        <f t="shared" si="459"/>
        <v>0</v>
      </c>
      <c r="Y2994" s="16">
        <f t="shared" si="460"/>
        <v>0</v>
      </c>
    </row>
    <row r="2995" spans="2:25" s="39" customFormat="1" ht="15.95" customHeight="1">
      <c r="B2995" s="21"/>
      <c r="C2995" s="23"/>
      <c r="D2995" s="380"/>
      <c r="E2995" s="23"/>
      <c r="F2995" s="22"/>
      <c r="G2995" s="22"/>
      <c r="H2995" s="22"/>
      <c r="I2995" s="22"/>
      <c r="J2995" s="22"/>
      <c r="K2995" s="22"/>
      <c r="L2995" s="22"/>
      <c r="M2995" s="22"/>
      <c r="N2995" s="22"/>
      <c r="O2995" s="23"/>
      <c r="P2995" s="23"/>
      <c r="Q2995" s="216"/>
      <c r="R2995" s="216"/>
      <c r="S2995" s="877"/>
      <c r="T2995" s="877"/>
      <c r="U2995" s="877"/>
      <c r="V2995" s="22"/>
      <c r="X2995" s="16">
        <f t="shared" si="459"/>
        <v>0</v>
      </c>
      <c r="Y2995" s="16">
        <f t="shared" si="460"/>
        <v>0</v>
      </c>
    </row>
    <row r="2996" spans="2:25" s="39" customFormat="1" ht="15.95" customHeight="1">
      <c r="B2996" s="21"/>
      <c r="C2996" s="23"/>
      <c r="D2996" s="380"/>
      <c r="E2996" s="23"/>
      <c r="F2996" s="22"/>
      <c r="G2996" s="22"/>
      <c r="H2996" s="22"/>
      <c r="I2996" s="22"/>
      <c r="J2996" s="22"/>
      <c r="K2996" s="22"/>
      <c r="L2996" s="22"/>
      <c r="M2996" s="22"/>
      <c r="N2996" s="22"/>
      <c r="O2996" s="23"/>
      <c r="P2996" s="23"/>
      <c r="Q2996" s="216"/>
      <c r="R2996" s="216"/>
      <c r="S2996" s="877"/>
      <c r="T2996" s="877"/>
      <c r="U2996" s="877"/>
      <c r="V2996" s="22"/>
      <c r="X2996" s="16">
        <f t="shared" si="459"/>
        <v>0</v>
      </c>
      <c r="Y2996" s="16">
        <f t="shared" si="460"/>
        <v>0</v>
      </c>
    </row>
    <row r="2997" spans="2:25" s="39" customFormat="1" ht="15.95" customHeight="1">
      <c r="B2997" s="21"/>
      <c r="C2997" s="23"/>
      <c r="D2997" s="380"/>
      <c r="E2997" s="23"/>
      <c r="F2997" s="22"/>
      <c r="G2997" s="22"/>
      <c r="H2997" s="22"/>
      <c r="I2997" s="22"/>
      <c r="J2997" s="22"/>
      <c r="K2997" s="22"/>
      <c r="L2997" s="22"/>
      <c r="M2997" s="22"/>
      <c r="N2997" s="22"/>
      <c r="O2997" s="23"/>
      <c r="P2997" s="23"/>
      <c r="Q2997" s="216"/>
      <c r="R2997" s="216"/>
      <c r="S2997" s="877"/>
      <c r="T2997" s="877"/>
      <c r="U2997" s="877"/>
      <c r="V2997" s="22"/>
      <c r="X2997" s="16">
        <f t="shared" si="459"/>
        <v>0</v>
      </c>
      <c r="Y2997" s="16">
        <f t="shared" si="460"/>
        <v>0</v>
      </c>
    </row>
    <row r="2998" spans="2:25" s="39" customFormat="1" ht="15.95" customHeight="1">
      <c r="B2998" s="21"/>
      <c r="C2998" s="23"/>
      <c r="D2998" s="380"/>
      <c r="E2998" s="23"/>
      <c r="F2998" s="22"/>
      <c r="G2998" s="22"/>
      <c r="H2998" s="22"/>
      <c r="I2998" s="22"/>
      <c r="J2998" s="22"/>
      <c r="K2998" s="22"/>
      <c r="L2998" s="22"/>
      <c r="M2998" s="22"/>
      <c r="N2998" s="22"/>
      <c r="O2998" s="23"/>
      <c r="P2998" s="23"/>
      <c r="Q2998" s="216"/>
      <c r="R2998" s="216"/>
      <c r="S2998" s="877"/>
      <c r="T2998" s="877"/>
      <c r="U2998" s="877"/>
      <c r="V2998" s="22"/>
      <c r="X2998" s="16">
        <f t="shared" si="459"/>
        <v>0</v>
      </c>
      <c r="Y2998" s="16">
        <f t="shared" si="460"/>
        <v>0</v>
      </c>
    </row>
    <row r="2999" spans="2:25" s="39" customFormat="1" ht="15.95" customHeight="1">
      <c r="B2999" s="21"/>
      <c r="C2999" s="23"/>
      <c r="D2999" s="380"/>
      <c r="E2999" s="23"/>
      <c r="F2999" s="22"/>
      <c r="G2999" s="22"/>
      <c r="H2999" s="22"/>
      <c r="I2999" s="22"/>
      <c r="J2999" s="22"/>
      <c r="K2999" s="22"/>
      <c r="L2999" s="22"/>
      <c r="M2999" s="22"/>
      <c r="N2999" s="22"/>
      <c r="O2999" s="23"/>
      <c r="P2999" s="23"/>
      <c r="Q2999" s="216"/>
      <c r="R2999" s="216"/>
      <c r="S2999" s="877"/>
      <c r="T2999" s="877"/>
      <c r="U2999" s="877"/>
      <c r="V2999" s="22"/>
      <c r="X2999" s="16">
        <f t="shared" si="459"/>
        <v>0</v>
      </c>
      <c r="Y2999" s="16">
        <f t="shared" si="460"/>
        <v>0</v>
      </c>
    </row>
    <row r="3000" spans="2:25" s="39" customFormat="1" ht="15.95" customHeight="1">
      <c r="B3000" s="21"/>
      <c r="C3000" s="23"/>
      <c r="D3000" s="380"/>
      <c r="E3000" s="23"/>
      <c r="F3000" s="22"/>
      <c r="G3000" s="22"/>
      <c r="H3000" s="22"/>
      <c r="I3000" s="22"/>
      <c r="J3000" s="22"/>
      <c r="K3000" s="22"/>
      <c r="L3000" s="22"/>
      <c r="M3000" s="22"/>
      <c r="N3000" s="22"/>
      <c r="O3000" s="23"/>
      <c r="P3000" s="23"/>
      <c r="Q3000" s="216"/>
      <c r="R3000" s="216"/>
      <c r="S3000" s="877"/>
      <c r="T3000" s="877"/>
      <c r="U3000" s="877"/>
      <c r="V3000" s="22"/>
      <c r="X3000" s="16">
        <f t="shared" si="459"/>
        <v>0</v>
      </c>
      <c r="Y3000" s="16">
        <f t="shared" si="460"/>
        <v>0</v>
      </c>
    </row>
    <row r="3001" spans="2:25" s="39" customFormat="1" ht="15.95" customHeight="1">
      <c r="B3001" s="21"/>
      <c r="C3001" s="23"/>
      <c r="D3001" s="380"/>
      <c r="E3001" s="23"/>
      <c r="F3001" s="22"/>
      <c r="G3001" s="22"/>
      <c r="H3001" s="22"/>
      <c r="I3001" s="22"/>
      <c r="J3001" s="22"/>
      <c r="K3001" s="22"/>
      <c r="L3001" s="22"/>
      <c r="M3001" s="22"/>
      <c r="N3001" s="22"/>
      <c r="O3001" s="23"/>
      <c r="P3001" s="23"/>
      <c r="Q3001" s="216"/>
      <c r="R3001" s="216"/>
      <c r="S3001" s="877"/>
      <c r="T3001" s="877"/>
      <c r="U3001" s="877"/>
      <c r="V3001" s="22"/>
      <c r="X3001" s="16">
        <f t="shared" si="459"/>
        <v>0</v>
      </c>
      <c r="Y3001" s="16">
        <f t="shared" si="460"/>
        <v>0</v>
      </c>
    </row>
    <row r="3002" spans="2:25" s="39" customFormat="1" ht="15.95" customHeight="1">
      <c r="B3002" s="21"/>
      <c r="C3002" s="23"/>
      <c r="D3002" s="380"/>
      <c r="E3002" s="23"/>
      <c r="F3002" s="22"/>
      <c r="G3002" s="22"/>
      <c r="H3002" s="22"/>
      <c r="I3002" s="22"/>
      <c r="J3002" s="22"/>
      <c r="K3002" s="22"/>
      <c r="L3002" s="22"/>
      <c r="M3002" s="22"/>
      <c r="N3002" s="22"/>
      <c r="O3002" s="23"/>
      <c r="P3002" s="23"/>
      <c r="Q3002" s="216"/>
      <c r="R3002" s="216"/>
      <c r="S3002" s="877"/>
      <c r="T3002" s="877"/>
      <c r="U3002" s="877"/>
      <c r="V3002" s="22"/>
      <c r="X3002" s="16">
        <f t="shared" si="459"/>
        <v>0</v>
      </c>
      <c r="Y3002" s="16">
        <f t="shared" si="460"/>
        <v>0</v>
      </c>
    </row>
    <row r="3003" spans="2:25" s="39" customFormat="1" ht="15.95" customHeight="1">
      <c r="B3003" s="21"/>
      <c r="C3003" s="23"/>
      <c r="D3003" s="380"/>
      <c r="E3003" s="23"/>
      <c r="F3003" s="22"/>
      <c r="G3003" s="22"/>
      <c r="H3003" s="22"/>
      <c r="I3003" s="22"/>
      <c r="J3003" s="22"/>
      <c r="K3003" s="22"/>
      <c r="L3003" s="22"/>
      <c r="M3003" s="22"/>
      <c r="N3003" s="22"/>
      <c r="O3003" s="23"/>
      <c r="P3003" s="23"/>
      <c r="Q3003" s="216"/>
      <c r="R3003" s="216"/>
      <c r="S3003" s="877"/>
      <c r="T3003" s="877"/>
      <c r="U3003" s="877"/>
      <c r="V3003" s="22"/>
      <c r="X3003" s="16">
        <f t="shared" si="459"/>
        <v>0</v>
      </c>
      <c r="Y3003" s="16">
        <f t="shared" si="460"/>
        <v>0</v>
      </c>
    </row>
    <row r="3004" spans="2:25" s="39" customFormat="1" ht="15.95" customHeight="1">
      <c r="B3004" s="21"/>
      <c r="C3004" s="23"/>
      <c r="D3004" s="380"/>
      <c r="E3004" s="23"/>
      <c r="F3004" s="22"/>
      <c r="G3004" s="22"/>
      <c r="H3004" s="22"/>
      <c r="I3004" s="22"/>
      <c r="J3004" s="22"/>
      <c r="K3004" s="22"/>
      <c r="L3004" s="22"/>
      <c r="M3004" s="22"/>
      <c r="N3004" s="22"/>
      <c r="O3004" s="23"/>
      <c r="P3004" s="23"/>
      <c r="Q3004" s="216"/>
      <c r="R3004" s="216"/>
      <c r="S3004" s="877"/>
      <c r="T3004" s="877"/>
      <c r="U3004" s="877"/>
      <c r="V3004" s="22"/>
      <c r="X3004" s="16">
        <f t="shared" si="459"/>
        <v>0</v>
      </c>
      <c r="Y3004" s="16">
        <f t="shared" si="460"/>
        <v>0</v>
      </c>
    </row>
    <row r="3005" spans="2:25" s="39" customFormat="1" ht="15.95" customHeight="1">
      <c r="B3005" s="21"/>
      <c r="C3005" s="23"/>
      <c r="D3005" s="380"/>
      <c r="E3005" s="23"/>
      <c r="F3005" s="22"/>
      <c r="G3005" s="22"/>
      <c r="H3005" s="22"/>
      <c r="I3005" s="22"/>
      <c r="J3005" s="22"/>
      <c r="K3005" s="22"/>
      <c r="L3005" s="22"/>
      <c r="M3005" s="22"/>
      <c r="N3005" s="22"/>
      <c r="O3005" s="23"/>
      <c r="P3005" s="23"/>
      <c r="Q3005" s="216"/>
      <c r="R3005" s="216"/>
      <c r="S3005" s="877"/>
      <c r="T3005" s="877"/>
      <c r="U3005" s="877"/>
      <c r="V3005" s="22"/>
      <c r="X3005" s="16">
        <f t="shared" si="459"/>
        <v>0</v>
      </c>
      <c r="Y3005" s="16">
        <f t="shared" si="460"/>
        <v>0</v>
      </c>
    </row>
    <row r="3006" spans="2:25" s="39" customFormat="1" ht="15.95" customHeight="1">
      <c r="B3006" s="21"/>
      <c r="C3006" s="23"/>
      <c r="D3006" s="380"/>
      <c r="E3006" s="23"/>
      <c r="F3006" s="22"/>
      <c r="G3006" s="22"/>
      <c r="H3006" s="22"/>
      <c r="I3006" s="22"/>
      <c r="J3006" s="22"/>
      <c r="K3006" s="22"/>
      <c r="L3006" s="22"/>
      <c r="M3006" s="22"/>
      <c r="N3006" s="22"/>
      <c r="O3006" s="23"/>
      <c r="P3006" s="23"/>
      <c r="Q3006" s="216"/>
      <c r="R3006" s="216"/>
      <c r="S3006" s="877"/>
      <c r="T3006" s="877"/>
      <c r="U3006" s="877"/>
      <c r="V3006" s="22"/>
      <c r="X3006" s="16">
        <f t="shared" si="459"/>
        <v>0</v>
      </c>
      <c r="Y3006" s="16">
        <f t="shared" si="460"/>
        <v>0</v>
      </c>
    </row>
    <row r="3007" spans="2:25" s="39" customFormat="1" ht="15.95" customHeight="1">
      <c r="B3007" s="21"/>
      <c r="C3007" s="23"/>
      <c r="D3007" s="380"/>
      <c r="E3007" s="23"/>
      <c r="F3007" s="22"/>
      <c r="G3007" s="22"/>
      <c r="H3007" s="22"/>
      <c r="I3007" s="22"/>
      <c r="J3007" s="22"/>
      <c r="K3007" s="22"/>
      <c r="L3007" s="22"/>
      <c r="M3007" s="22"/>
      <c r="N3007" s="22"/>
      <c r="O3007" s="23"/>
      <c r="P3007" s="23"/>
      <c r="Q3007" s="216"/>
      <c r="R3007" s="216"/>
      <c r="S3007" s="877"/>
      <c r="T3007" s="877"/>
      <c r="U3007" s="877"/>
      <c r="V3007" s="22"/>
      <c r="X3007" s="16">
        <f t="shared" si="459"/>
        <v>0</v>
      </c>
      <c r="Y3007" s="16">
        <f t="shared" si="460"/>
        <v>0</v>
      </c>
    </row>
    <row r="3008" spans="2:25" s="39" customFormat="1" ht="15.95" customHeight="1">
      <c r="B3008" s="21"/>
      <c r="C3008" s="23"/>
      <c r="D3008" s="380"/>
      <c r="E3008" s="23"/>
      <c r="F3008" s="22"/>
      <c r="G3008" s="22"/>
      <c r="H3008" s="22"/>
      <c r="I3008" s="22"/>
      <c r="J3008" s="22"/>
      <c r="K3008" s="22"/>
      <c r="L3008" s="22"/>
      <c r="M3008" s="22"/>
      <c r="N3008" s="22"/>
      <c r="O3008" s="23"/>
      <c r="P3008" s="23"/>
      <c r="Q3008" s="216"/>
      <c r="R3008" s="216"/>
      <c r="S3008" s="877"/>
      <c r="T3008" s="877"/>
      <c r="U3008" s="877"/>
      <c r="V3008" s="22"/>
      <c r="X3008" s="16">
        <f t="shared" si="459"/>
        <v>0</v>
      </c>
      <c r="Y3008" s="16">
        <f t="shared" si="460"/>
        <v>0</v>
      </c>
    </row>
    <row r="3009" spans="2:25" s="39" customFormat="1" ht="15.95" customHeight="1">
      <c r="B3009" s="21"/>
      <c r="C3009" s="23"/>
      <c r="D3009" s="380"/>
      <c r="E3009" s="23"/>
      <c r="F3009" s="22"/>
      <c r="G3009" s="22"/>
      <c r="H3009" s="22"/>
      <c r="I3009" s="22"/>
      <c r="J3009" s="22"/>
      <c r="K3009" s="22"/>
      <c r="L3009" s="22"/>
      <c r="M3009" s="22"/>
      <c r="N3009" s="22"/>
      <c r="O3009" s="23"/>
      <c r="P3009" s="23"/>
      <c r="Q3009" s="216"/>
      <c r="R3009" s="216"/>
      <c r="S3009" s="877"/>
      <c r="T3009" s="877"/>
      <c r="U3009" s="877"/>
      <c r="V3009" s="22"/>
      <c r="X3009" s="16">
        <f t="shared" si="459"/>
        <v>0</v>
      </c>
      <c r="Y3009" s="16">
        <f t="shared" si="460"/>
        <v>0</v>
      </c>
    </row>
    <row r="3010" spans="2:25" s="39" customFormat="1" ht="15.95" customHeight="1">
      <c r="B3010" s="21"/>
      <c r="C3010" s="23"/>
      <c r="D3010" s="380"/>
      <c r="E3010" s="23"/>
      <c r="F3010" s="22"/>
      <c r="G3010" s="22"/>
      <c r="H3010" s="22"/>
      <c r="I3010" s="22"/>
      <c r="J3010" s="22"/>
      <c r="K3010" s="22"/>
      <c r="L3010" s="22"/>
      <c r="M3010" s="22"/>
      <c r="N3010" s="22"/>
      <c r="O3010" s="23"/>
      <c r="P3010" s="23"/>
      <c r="Q3010" s="216"/>
      <c r="R3010" s="216"/>
      <c r="S3010" s="877"/>
      <c r="T3010" s="877"/>
      <c r="U3010" s="877"/>
      <c r="V3010" s="22"/>
      <c r="X3010" s="16">
        <f t="shared" si="459"/>
        <v>0</v>
      </c>
      <c r="Y3010" s="16">
        <f t="shared" si="460"/>
        <v>0</v>
      </c>
    </row>
    <row r="3011" spans="2:25" s="39" customFormat="1" ht="15.95" customHeight="1">
      <c r="B3011" s="21"/>
      <c r="C3011" s="23"/>
      <c r="D3011" s="380"/>
      <c r="E3011" s="23"/>
      <c r="F3011" s="22"/>
      <c r="G3011" s="22"/>
      <c r="H3011" s="22"/>
      <c r="I3011" s="22"/>
      <c r="J3011" s="22"/>
      <c r="K3011" s="22"/>
      <c r="L3011" s="22"/>
      <c r="M3011" s="22"/>
      <c r="N3011" s="22"/>
      <c r="O3011" s="23"/>
      <c r="P3011" s="23"/>
      <c r="Q3011" s="216"/>
      <c r="R3011" s="216"/>
      <c r="S3011" s="877"/>
      <c r="T3011" s="877"/>
      <c r="U3011" s="877"/>
      <c r="V3011" s="22"/>
      <c r="X3011" s="16">
        <f t="shared" si="459"/>
        <v>0</v>
      </c>
      <c r="Y3011" s="16">
        <f t="shared" si="460"/>
        <v>0</v>
      </c>
    </row>
    <row r="3012" spans="2:25" s="39" customFormat="1" ht="15.95" customHeight="1">
      <c r="B3012" s="21"/>
      <c r="C3012" s="23"/>
      <c r="D3012" s="380"/>
      <c r="E3012" s="23"/>
      <c r="F3012" s="22"/>
      <c r="G3012" s="22"/>
      <c r="H3012" s="22"/>
      <c r="I3012" s="22"/>
      <c r="J3012" s="22"/>
      <c r="K3012" s="22"/>
      <c r="L3012" s="22"/>
      <c r="M3012" s="22"/>
      <c r="N3012" s="22"/>
      <c r="O3012" s="23"/>
      <c r="P3012" s="23"/>
      <c r="Q3012" s="216"/>
      <c r="R3012" s="216"/>
      <c r="S3012" s="877"/>
      <c r="T3012" s="877"/>
      <c r="U3012" s="877"/>
      <c r="V3012" s="22"/>
      <c r="X3012" s="16">
        <f t="shared" si="459"/>
        <v>0</v>
      </c>
      <c r="Y3012" s="16">
        <f t="shared" si="460"/>
        <v>0</v>
      </c>
    </row>
    <row r="3013" spans="2:25" s="39" customFormat="1" ht="15.95" customHeight="1">
      <c r="B3013" s="21"/>
      <c r="C3013" s="23"/>
      <c r="D3013" s="380"/>
      <c r="E3013" s="23"/>
      <c r="F3013" s="22"/>
      <c r="G3013" s="22"/>
      <c r="H3013" s="22"/>
      <c r="I3013" s="22"/>
      <c r="J3013" s="22"/>
      <c r="K3013" s="22"/>
      <c r="L3013" s="22"/>
      <c r="M3013" s="22"/>
      <c r="N3013" s="22"/>
      <c r="O3013" s="23"/>
      <c r="P3013" s="23"/>
      <c r="Q3013" s="216"/>
      <c r="R3013" s="216"/>
      <c r="S3013" s="877"/>
      <c r="T3013" s="877"/>
      <c r="U3013" s="877"/>
      <c r="V3013" s="22"/>
      <c r="X3013" s="16">
        <f t="shared" si="459"/>
        <v>0</v>
      </c>
      <c r="Y3013" s="16">
        <f t="shared" si="460"/>
        <v>0</v>
      </c>
    </row>
    <row r="3014" spans="2:25" s="39" customFormat="1" ht="15.95" customHeight="1">
      <c r="B3014" s="21"/>
      <c r="C3014" s="23"/>
      <c r="D3014" s="380"/>
      <c r="E3014" s="23"/>
      <c r="F3014" s="22"/>
      <c r="G3014" s="22"/>
      <c r="H3014" s="22"/>
      <c r="I3014" s="22"/>
      <c r="J3014" s="22"/>
      <c r="K3014" s="22"/>
      <c r="L3014" s="22"/>
      <c r="M3014" s="22"/>
      <c r="N3014" s="22"/>
      <c r="O3014" s="23"/>
      <c r="P3014" s="23"/>
      <c r="Q3014" s="216"/>
      <c r="R3014" s="216"/>
      <c r="S3014" s="877"/>
      <c r="T3014" s="877"/>
      <c r="U3014" s="877"/>
      <c r="V3014" s="22"/>
      <c r="X3014" s="16">
        <f t="shared" si="459"/>
        <v>0</v>
      </c>
      <c r="Y3014" s="16">
        <f t="shared" si="460"/>
        <v>0</v>
      </c>
    </row>
    <row r="3015" spans="2:25" s="39" customFormat="1" ht="15.95" customHeight="1">
      <c r="B3015" s="21"/>
      <c r="C3015" s="23"/>
      <c r="D3015" s="380"/>
      <c r="E3015" s="23"/>
      <c r="F3015" s="22"/>
      <c r="G3015" s="22"/>
      <c r="H3015" s="22"/>
      <c r="I3015" s="22"/>
      <c r="J3015" s="22"/>
      <c r="K3015" s="22"/>
      <c r="L3015" s="22"/>
      <c r="M3015" s="22"/>
      <c r="N3015" s="22"/>
      <c r="O3015" s="23"/>
      <c r="P3015" s="23"/>
      <c r="Q3015" s="216"/>
      <c r="R3015" s="216"/>
      <c r="S3015" s="877"/>
      <c r="T3015" s="877"/>
      <c r="U3015" s="877"/>
      <c r="V3015" s="22"/>
      <c r="X3015" s="16">
        <f t="shared" si="459"/>
        <v>0</v>
      </c>
      <c r="Y3015" s="16">
        <f t="shared" ref="Y3015:Y3040" si="461">X3015-M3015</f>
        <v>0</v>
      </c>
    </row>
    <row r="3016" spans="2:25" s="39" customFormat="1" ht="15.95" customHeight="1">
      <c r="B3016" s="21"/>
      <c r="C3016" s="23"/>
      <c r="D3016" s="380"/>
      <c r="E3016" s="23"/>
      <c r="F3016" s="22"/>
      <c r="G3016" s="22"/>
      <c r="H3016" s="22"/>
      <c r="I3016" s="22"/>
      <c r="J3016" s="22"/>
      <c r="K3016" s="22"/>
      <c r="L3016" s="22"/>
      <c r="M3016" s="22"/>
      <c r="N3016" s="22"/>
      <c r="O3016" s="23"/>
      <c r="P3016" s="23"/>
      <c r="Q3016" s="216"/>
      <c r="R3016" s="216"/>
      <c r="S3016" s="877"/>
      <c r="T3016" s="877"/>
      <c r="U3016" s="877"/>
      <c r="V3016" s="22"/>
      <c r="X3016" s="16">
        <f t="shared" si="459"/>
        <v>0</v>
      </c>
      <c r="Y3016" s="16">
        <f t="shared" si="461"/>
        <v>0</v>
      </c>
    </row>
    <row r="3017" spans="2:25" s="39" customFormat="1" ht="15.95" customHeight="1">
      <c r="B3017" s="21"/>
      <c r="C3017" s="23"/>
      <c r="D3017" s="380"/>
      <c r="E3017" s="23"/>
      <c r="F3017" s="22"/>
      <c r="G3017" s="22"/>
      <c r="H3017" s="22"/>
      <c r="I3017" s="22"/>
      <c r="J3017" s="22"/>
      <c r="K3017" s="22"/>
      <c r="L3017" s="22"/>
      <c r="M3017" s="22"/>
      <c r="N3017" s="22"/>
      <c r="O3017" s="23"/>
      <c r="P3017" s="23"/>
      <c r="Q3017" s="216"/>
      <c r="R3017" s="216"/>
      <c r="S3017" s="877"/>
      <c r="T3017" s="877"/>
      <c r="U3017" s="877"/>
      <c r="V3017" s="22"/>
      <c r="X3017" s="16">
        <f t="shared" si="459"/>
        <v>0</v>
      </c>
      <c r="Y3017" s="16">
        <f t="shared" si="461"/>
        <v>0</v>
      </c>
    </row>
    <row r="3018" spans="2:25" s="39" customFormat="1" ht="15.95" customHeight="1">
      <c r="B3018" s="21"/>
      <c r="C3018" s="23"/>
      <c r="D3018" s="380"/>
      <c r="E3018" s="23"/>
      <c r="F3018" s="22"/>
      <c r="G3018" s="22"/>
      <c r="H3018" s="22"/>
      <c r="I3018" s="22"/>
      <c r="J3018" s="22"/>
      <c r="K3018" s="22"/>
      <c r="L3018" s="22"/>
      <c r="M3018" s="22"/>
      <c r="N3018" s="22"/>
      <c r="O3018" s="23"/>
      <c r="P3018" s="23"/>
      <c r="Q3018" s="216"/>
      <c r="R3018" s="216"/>
      <c r="S3018" s="877"/>
      <c r="T3018" s="877"/>
      <c r="U3018" s="877"/>
      <c r="V3018" s="22"/>
      <c r="X3018" s="16">
        <f t="shared" si="459"/>
        <v>0</v>
      </c>
      <c r="Y3018" s="16">
        <f t="shared" si="461"/>
        <v>0</v>
      </c>
    </row>
    <row r="3019" spans="2:25" s="39" customFormat="1" ht="15.95" customHeight="1">
      <c r="B3019" s="21"/>
      <c r="C3019" s="23"/>
      <c r="D3019" s="380"/>
      <c r="E3019" s="23"/>
      <c r="F3019" s="22"/>
      <c r="G3019" s="22"/>
      <c r="H3019" s="22"/>
      <c r="I3019" s="22"/>
      <c r="J3019" s="22"/>
      <c r="K3019" s="22"/>
      <c r="L3019" s="22"/>
      <c r="M3019" s="22"/>
      <c r="N3019" s="22"/>
      <c r="O3019" s="23"/>
      <c r="P3019" s="23"/>
      <c r="Q3019" s="216"/>
      <c r="R3019" s="216"/>
      <c r="S3019" s="877"/>
      <c r="T3019" s="877"/>
      <c r="U3019" s="877"/>
      <c r="V3019" s="22"/>
      <c r="X3019" s="16">
        <f t="shared" si="459"/>
        <v>0</v>
      </c>
      <c r="Y3019" s="16">
        <f t="shared" si="461"/>
        <v>0</v>
      </c>
    </row>
    <row r="3020" spans="2:25" s="39" customFormat="1" ht="15.95" customHeight="1">
      <c r="B3020" s="21"/>
      <c r="C3020" s="23"/>
      <c r="D3020" s="380"/>
      <c r="E3020" s="23"/>
      <c r="F3020" s="22"/>
      <c r="G3020" s="22"/>
      <c r="H3020" s="22"/>
      <c r="I3020" s="22"/>
      <c r="J3020" s="22"/>
      <c r="K3020" s="22"/>
      <c r="L3020" s="22"/>
      <c r="M3020" s="22"/>
      <c r="N3020" s="22"/>
      <c r="O3020" s="23"/>
      <c r="P3020" s="23"/>
      <c r="Q3020" s="216"/>
      <c r="R3020" s="216"/>
      <c r="S3020" s="877"/>
      <c r="T3020" s="877"/>
      <c r="U3020" s="877"/>
      <c r="V3020" s="22"/>
      <c r="X3020" s="16">
        <f t="shared" si="459"/>
        <v>0</v>
      </c>
      <c r="Y3020" s="16">
        <f t="shared" si="461"/>
        <v>0</v>
      </c>
    </row>
    <row r="3021" spans="2:25" s="39" customFormat="1" ht="15.95" customHeight="1">
      <c r="B3021" s="21"/>
      <c r="C3021" s="23"/>
      <c r="D3021" s="380"/>
      <c r="E3021" s="23"/>
      <c r="F3021" s="22"/>
      <c r="G3021" s="22"/>
      <c r="H3021" s="22"/>
      <c r="I3021" s="22"/>
      <c r="J3021" s="22"/>
      <c r="K3021" s="22"/>
      <c r="L3021" s="22"/>
      <c r="M3021" s="22"/>
      <c r="N3021" s="22"/>
      <c r="O3021" s="23"/>
      <c r="P3021" s="23"/>
      <c r="Q3021" s="216"/>
      <c r="R3021" s="216"/>
      <c r="S3021" s="877"/>
      <c r="T3021" s="877"/>
      <c r="U3021" s="877"/>
      <c r="V3021" s="22"/>
      <c r="X3021" s="16">
        <f t="shared" si="459"/>
        <v>0</v>
      </c>
      <c r="Y3021" s="16">
        <f t="shared" si="461"/>
        <v>0</v>
      </c>
    </row>
    <row r="3022" spans="2:25" s="39" customFormat="1" ht="15.95" customHeight="1">
      <c r="B3022" s="21"/>
      <c r="C3022" s="23"/>
      <c r="D3022" s="380"/>
      <c r="E3022" s="23"/>
      <c r="F3022" s="22"/>
      <c r="G3022" s="22"/>
      <c r="H3022" s="22"/>
      <c r="I3022" s="22"/>
      <c r="J3022" s="22"/>
      <c r="K3022" s="22"/>
      <c r="L3022" s="22"/>
      <c r="M3022" s="22"/>
      <c r="N3022" s="22"/>
      <c r="O3022" s="23"/>
      <c r="P3022" s="23"/>
      <c r="Q3022" s="216"/>
      <c r="R3022" s="216"/>
      <c r="S3022" s="877"/>
      <c r="T3022" s="877"/>
      <c r="U3022" s="877"/>
      <c r="V3022" s="22"/>
      <c r="X3022" s="16">
        <f t="shared" si="459"/>
        <v>0</v>
      </c>
      <c r="Y3022" s="16">
        <f t="shared" si="461"/>
        <v>0</v>
      </c>
    </row>
    <row r="3023" spans="2:25" s="39" customFormat="1" ht="15.95" customHeight="1">
      <c r="B3023" s="21"/>
      <c r="C3023" s="23"/>
      <c r="D3023" s="380"/>
      <c r="E3023" s="23"/>
      <c r="F3023" s="22"/>
      <c r="G3023" s="22"/>
      <c r="H3023" s="22"/>
      <c r="I3023" s="22"/>
      <c r="J3023" s="22"/>
      <c r="K3023" s="22"/>
      <c r="L3023" s="22"/>
      <c r="M3023" s="22"/>
      <c r="N3023" s="22"/>
      <c r="O3023" s="23"/>
      <c r="P3023" s="23"/>
      <c r="Q3023" s="216"/>
      <c r="R3023" s="216"/>
      <c r="S3023" s="877"/>
      <c r="T3023" s="877"/>
      <c r="U3023" s="877"/>
      <c r="V3023" s="22"/>
      <c r="X3023" s="16">
        <f t="shared" si="459"/>
        <v>0</v>
      </c>
      <c r="Y3023" s="16">
        <f t="shared" si="461"/>
        <v>0</v>
      </c>
    </row>
    <row r="3024" spans="2:25" s="39" customFormat="1" ht="15.95" customHeight="1">
      <c r="B3024" s="21"/>
      <c r="C3024" s="23"/>
      <c r="D3024" s="380"/>
      <c r="E3024" s="23"/>
      <c r="F3024" s="22"/>
      <c r="G3024" s="22"/>
      <c r="H3024" s="22"/>
      <c r="I3024" s="22"/>
      <c r="J3024" s="22"/>
      <c r="K3024" s="22"/>
      <c r="L3024" s="22"/>
      <c r="M3024" s="22"/>
      <c r="N3024" s="22"/>
      <c r="O3024" s="23"/>
      <c r="P3024" s="23"/>
      <c r="Q3024" s="216"/>
      <c r="R3024" s="216"/>
      <c r="S3024" s="877"/>
      <c r="T3024" s="877"/>
      <c r="U3024" s="877"/>
      <c r="V3024" s="22"/>
      <c r="X3024" s="16">
        <f t="shared" si="459"/>
        <v>0</v>
      </c>
      <c r="Y3024" s="16">
        <f t="shared" si="461"/>
        <v>0</v>
      </c>
    </row>
    <row r="3025" spans="2:25" s="39" customFormat="1" ht="15.95" customHeight="1">
      <c r="B3025" s="21"/>
      <c r="C3025" s="23"/>
      <c r="D3025" s="380"/>
      <c r="E3025" s="23"/>
      <c r="F3025" s="22"/>
      <c r="G3025" s="22"/>
      <c r="H3025" s="22"/>
      <c r="I3025" s="22"/>
      <c r="J3025" s="22"/>
      <c r="K3025" s="22"/>
      <c r="L3025" s="22"/>
      <c r="M3025" s="22"/>
      <c r="N3025" s="22"/>
      <c r="O3025" s="23"/>
      <c r="P3025" s="23"/>
      <c r="Q3025" s="216"/>
      <c r="R3025" s="216"/>
      <c r="S3025" s="877"/>
      <c r="T3025" s="877"/>
      <c r="U3025" s="877"/>
      <c r="V3025" s="22"/>
      <c r="X3025" s="16">
        <f t="shared" si="459"/>
        <v>0</v>
      </c>
      <c r="Y3025" s="16">
        <f t="shared" si="461"/>
        <v>0</v>
      </c>
    </row>
    <row r="3026" spans="2:25" s="39" customFormat="1" ht="15.95" customHeight="1">
      <c r="B3026" s="21"/>
      <c r="C3026" s="23"/>
      <c r="D3026" s="380"/>
      <c r="E3026" s="23"/>
      <c r="F3026" s="22"/>
      <c r="G3026" s="22"/>
      <c r="H3026" s="22"/>
      <c r="I3026" s="22"/>
      <c r="J3026" s="22"/>
      <c r="K3026" s="22"/>
      <c r="L3026" s="22"/>
      <c r="M3026" s="22"/>
      <c r="N3026" s="22"/>
      <c r="O3026" s="23"/>
      <c r="P3026" s="23"/>
      <c r="Q3026" s="216"/>
      <c r="R3026" s="216"/>
      <c r="S3026" s="877"/>
      <c r="T3026" s="877"/>
      <c r="U3026" s="877"/>
      <c r="V3026" s="22"/>
      <c r="X3026" s="16">
        <f t="shared" si="459"/>
        <v>0</v>
      </c>
      <c r="Y3026" s="16">
        <f t="shared" si="461"/>
        <v>0</v>
      </c>
    </row>
    <row r="3027" spans="2:25" s="39" customFormat="1" ht="15.95" customHeight="1">
      <c r="B3027" s="21"/>
      <c r="C3027" s="23"/>
      <c r="D3027" s="380"/>
      <c r="E3027" s="23"/>
      <c r="F3027" s="22"/>
      <c r="G3027" s="22"/>
      <c r="H3027" s="22"/>
      <c r="I3027" s="22"/>
      <c r="J3027" s="22"/>
      <c r="K3027" s="22"/>
      <c r="L3027" s="22"/>
      <c r="M3027" s="22"/>
      <c r="N3027" s="22"/>
      <c r="O3027" s="23"/>
      <c r="P3027" s="23"/>
      <c r="Q3027" s="216"/>
      <c r="R3027" s="216"/>
      <c r="S3027" s="877"/>
      <c r="T3027" s="877"/>
      <c r="U3027" s="877"/>
      <c r="V3027" s="22"/>
      <c r="X3027" s="16">
        <f t="shared" si="459"/>
        <v>0</v>
      </c>
      <c r="Y3027" s="16">
        <f t="shared" si="461"/>
        <v>0</v>
      </c>
    </row>
    <row r="3028" spans="2:25" s="39" customFormat="1" ht="15.95" customHeight="1">
      <c r="B3028" s="21"/>
      <c r="C3028" s="23"/>
      <c r="D3028" s="380"/>
      <c r="E3028" s="23"/>
      <c r="F3028" s="22"/>
      <c r="G3028" s="22"/>
      <c r="H3028" s="22"/>
      <c r="I3028" s="22"/>
      <c r="J3028" s="22"/>
      <c r="K3028" s="22"/>
      <c r="L3028" s="22"/>
      <c r="M3028" s="22"/>
      <c r="N3028" s="22"/>
      <c r="O3028" s="23"/>
      <c r="P3028" s="23"/>
      <c r="Q3028" s="216"/>
      <c r="R3028" s="216"/>
      <c r="S3028" s="877"/>
      <c r="T3028" s="877"/>
      <c r="U3028" s="877"/>
      <c r="V3028" s="22"/>
      <c r="X3028" s="16">
        <f t="shared" si="459"/>
        <v>0</v>
      </c>
      <c r="Y3028" s="16">
        <f t="shared" si="461"/>
        <v>0</v>
      </c>
    </row>
    <row r="3029" spans="2:25" s="39" customFormat="1" ht="15.95" customHeight="1">
      <c r="B3029" s="21"/>
      <c r="C3029" s="23"/>
      <c r="D3029" s="380"/>
      <c r="E3029" s="23"/>
      <c r="F3029" s="22"/>
      <c r="G3029" s="22"/>
      <c r="H3029" s="22"/>
      <c r="I3029" s="22"/>
      <c r="J3029" s="22"/>
      <c r="K3029" s="22"/>
      <c r="L3029" s="22"/>
      <c r="M3029" s="22"/>
      <c r="N3029" s="22"/>
      <c r="O3029" s="23"/>
      <c r="P3029" s="23"/>
      <c r="Q3029" s="216"/>
      <c r="R3029" s="216"/>
      <c r="S3029" s="877"/>
      <c r="T3029" s="877"/>
      <c r="U3029" s="877"/>
      <c r="V3029" s="22"/>
      <c r="X3029" s="16">
        <f t="shared" ref="X3029:X3040" si="462">SUM(J3029:L3029)</f>
        <v>0</v>
      </c>
      <c r="Y3029" s="16">
        <f t="shared" si="461"/>
        <v>0</v>
      </c>
    </row>
    <row r="3030" spans="2:25" s="39" customFormat="1" ht="15.95" customHeight="1">
      <c r="B3030" s="21"/>
      <c r="C3030" s="23"/>
      <c r="D3030" s="380"/>
      <c r="E3030" s="23"/>
      <c r="F3030" s="22"/>
      <c r="G3030" s="22"/>
      <c r="H3030" s="22"/>
      <c r="I3030" s="22"/>
      <c r="J3030" s="22"/>
      <c r="K3030" s="22"/>
      <c r="L3030" s="22"/>
      <c r="M3030" s="22"/>
      <c r="N3030" s="22"/>
      <c r="O3030" s="23"/>
      <c r="P3030" s="23"/>
      <c r="Q3030" s="216"/>
      <c r="R3030" s="216"/>
      <c r="S3030" s="877"/>
      <c r="T3030" s="877"/>
      <c r="U3030" s="877"/>
      <c r="V3030" s="22"/>
      <c r="X3030" s="16">
        <f t="shared" si="462"/>
        <v>0</v>
      </c>
      <c r="Y3030" s="16">
        <f t="shared" si="461"/>
        <v>0</v>
      </c>
    </row>
    <row r="3031" spans="2:25" s="39" customFormat="1" ht="15.95" customHeight="1">
      <c r="B3031" s="21"/>
      <c r="C3031" s="23"/>
      <c r="D3031" s="380"/>
      <c r="E3031" s="23"/>
      <c r="F3031" s="22"/>
      <c r="G3031" s="22"/>
      <c r="H3031" s="22"/>
      <c r="I3031" s="22"/>
      <c r="J3031" s="22"/>
      <c r="K3031" s="22"/>
      <c r="L3031" s="22"/>
      <c r="M3031" s="22"/>
      <c r="N3031" s="22"/>
      <c r="O3031" s="23"/>
      <c r="P3031" s="23"/>
      <c r="Q3031" s="216"/>
      <c r="R3031" s="216"/>
      <c r="S3031" s="877"/>
      <c r="T3031" s="877"/>
      <c r="U3031" s="877"/>
      <c r="V3031" s="22"/>
      <c r="X3031" s="16">
        <f t="shared" si="462"/>
        <v>0</v>
      </c>
      <c r="Y3031" s="16">
        <f t="shared" si="461"/>
        <v>0</v>
      </c>
    </row>
    <row r="3032" spans="2:25" s="39" customFormat="1" ht="15.95" customHeight="1">
      <c r="B3032" s="21"/>
      <c r="C3032" s="23"/>
      <c r="D3032" s="380"/>
      <c r="E3032" s="23"/>
      <c r="F3032" s="22"/>
      <c r="G3032" s="22"/>
      <c r="H3032" s="22"/>
      <c r="I3032" s="22"/>
      <c r="J3032" s="22"/>
      <c r="K3032" s="22"/>
      <c r="L3032" s="22"/>
      <c r="M3032" s="22"/>
      <c r="N3032" s="22"/>
      <c r="O3032" s="23"/>
      <c r="P3032" s="23"/>
      <c r="Q3032" s="216"/>
      <c r="R3032" s="216"/>
      <c r="S3032" s="877"/>
      <c r="T3032" s="877"/>
      <c r="U3032" s="877"/>
      <c r="V3032" s="22"/>
      <c r="X3032" s="16">
        <f t="shared" si="462"/>
        <v>0</v>
      </c>
      <c r="Y3032" s="16">
        <f t="shared" si="461"/>
        <v>0</v>
      </c>
    </row>
    <row r="3033" spans="2:25" s="39" customFormat="1" ht="15.95" customHeight="1">
      <c r="B3033" s="21"/>
      <c r="C3033" s="23"/>
      <c r="D3033" s="380"/>
      <c r="E3033" s="23"/>
      <c r="F3033" s="22"/>
      <c r="G3033" s="22"/>
      <c r="H3033" s="22"/>
      <c r="I3033" s="22"/>
      <c r="J3033" s="22"/>
      <c r="K3033" s="22"/>
      <c r="L3033" s="22"/>
      <c r="M3033" s="22"/>
      <c r="N3033" s="22"/>
      <c r="O3033" s="23"/>
      <c r="P3033" s="23"/>
      <c r="Q3033" s="216"/>
      <c r="R3033" s="216"/>
      <c r="S3033" s="877"/>
      <c r="T3033" s="877"/>
      <c r="U3033" s="877"/>
      <c r="V3033" s="22"/>
      <c r="X3033" s="16">
        <f t="shared" si="462"/>
        <v>0</v>
      </c>
      <c r="Y3033" s="16">
        <f t="shared" si="461"/>
        <v>0</v>
      </c>
    </row>
    <row r="3034" spans="2:25" s="39" customFormat="1" ht="15.95" customHeight="1">
      <c r="B3034" s="21"/>
      <c r="C3034" s="23"/>
      <c r="D3034" s="380"/>
      <c r="E3034" s="23"/>
      <c r="F3034" s="22"/>
      <c r="G3034" s="22"/>
      <c r="H3034" s="22"/>
      <c r="I3034" s="22"/>
      <c r="J3034" s="22"/>
      <c r="K3034" s="22"/>
      <c r="L3034" s="22"/>
      <c r="M3034" s="22"/>
      <c r="N3034" s="22"/>
      <c r="O3034" s="23"/>
      <c r="P3034" s="23"/>
      <c r="Q3034" s="216"/>
      <c r="R3034" s="216"/>
      <c r="S3034" s="877"/>
      <c r="T3034" s="877"/>
      <c r="U3034" s="877"/>
      <c r="V3034" s="22"/>
      <c r="X3034" s="16">
        <f t="shared" si="462"/>
        <v>0</v>
      </c>
      <c r="Y3034" s="16">
        <f t="shared" si="461"/>
        <v>0</v>
      </c>
    </row>
    <row r="3035" spans="2:25" s="39" customFormat="1" ht="15.95" customHeight="1">
      <c r="B3035" s="21"/>
      <c r="C3035" s="23"/>
      <c r="D3035" s="380"/>
      <c r="E3035" s="23"/>
      <c r="F3035" s="22"/>
      <c r="G3035" s="22"/>
      <c r="H3035" s="22"/>
      <c r="I3035" s="22"/>
      <c r="J3035" s="22"/>
      <c r="K3035" s="22"/>
      <c r="L3035" s="22"/>
      <c r="M3035" s="22"/>
      <c r="N3035" s="22"/>
      <c r="O3035" s="23"/>
      <c r="P3035" s="23"/>
      <c r="Q3035" s="216"/>
      <c r="R3035" s="216"/>
      <c r="S3035" s="877"/>
      <c r="T3035" s="877"/>
      <c r="U3035" s="877"/>
      <c r="V3035" s="22"/>
      <c r="X3035" s="16">
        <f t="shared" si="462"/>
        <v>0</v>
      </c>
      <c r="Y3035" s="16">
        <f t="shared" si="461"/>
        <v>0</v>
      </c>
    </row>
    <row r="3036" spans="2:25" s="39" customFormat="1" ht="15.95" customHeight="1">
      <c r="B3036" s="21"/>
      <c r="C3036" s="23"/>
      <c r="D3036" s="380"/>
      <c r="E3036" s="23"/>
      <c r="F3036" s="22"/>
      <c r="G3036" s="22"/>
      <c r="H3036" s="22"/>
      <c r="I3036" s="22"/>
      <c r="J3036" s="22"/>
      <c r="K3036" s="22"/>
      <c r="L3036" s="22"/>
      <c r="M3036" s="22"/>
      <c r="N3036" s="22"/>
      <c r="O3036" s="23"/>
      <c r="P3036" s="23"/>
      <c r="Q3036" s="216"/>
      <c r="R3036" s="216"/>
      <c r="S3036" s="877"/>
      <c r="T3036" s="877"/>
      <c r="U3036" s="877"/>
      <c r="V3036" s="22"/>
      <c r="X3036" s="16">
        <f t="shared" si="462"/>
        <v>0</v>
      </c>
      <c r="Y3036" s="16">
        <f t="shared" si="461"/>
        <v>0</v>
      </c>
    </row>
    <row r="3037" spans="2:25" s="39" customFormat="1" ht="15.95" customHeight="1">
      <c r="B3037" s="21"/>
      <c r="C3037" s="23"/>
      <c r="D3037" s="380"/>
      <c r="E3037" s="23"/>
      <c r="F3037" s="22"/>
      <c r="G3037" s="22"/>
      <c r="H3037" s="22"/>
      <c r="I3037" s="22"/>
      <c r="J3037" s="22"/>
      <c r="K3037" s="22"/>
      <c r="L3037" s="22"/>
      <c r="M3037" s="22"/>
      <c r="N3037" s="22"/>
      <c r="O3037" s="23"/>
      <c r="P3037" s="23"/>
      <c r="Q3037" s="216"/>
      <c r="R3037" s="216"/>
      <c r="S3037" s="877"/>
      <c r="T3037" s="877"/>
      <c r="U3037" s="877"/>
      <c r="V3037" s="22"/>
      <c r="X3037" s="16">
        <f t="shared" si="462"/>
        <v>0</v>
      </c>
      <c r="Y3037" s="16">
        <f t="shared" si="461"/>
        <v>0</v>
      </c>
    </row>
    <row r="3038" spans="2:25" s="39" customFormat="1" ht="15.95" customHeight="1">
      <c r="B3038" s="21"/>
      <c r="C3038" s="23"/>
      <c r="D3038" s="380"/>
      <c r="E3038" s="23"/>
      <c r="F3038" s="22"/>
      <c r="G3038" s="22"/>
      <c r="H3038" s="22"/>
      <c r="I3038" s="22"/>
      <c r="J3038" s="22"/>
      <c r="K3038" s="22"/>
      <c r="L3038" s="22"/>
      <c r="M3038" s="22"/>
      <c r="N3038" s="22"/>
      <c r="O3038" s="23"/>
      <c r="P3038" s="23"/>
      <c r="Q3038" s="216"/>
      <c r="R3038" s="216"/>
      <c r="S3038" s="877"/>
      <c r="T3038" s="877"/>
      <c r="U3038" s="877"/>
      <c r="V3038" s="22"/>
      <c r="X3038" s="16">
        <f t="shared" si="462"/>
        <v>0</v>
      </c>
      <c r="Y3038" s="16">
        <f t="shared" si="461"/>
        <v>0</v>
      </c>
    </row>
    <row r="3039" spans="2:25" s="39" customFormat="1" ht="15.95" customHeight="1">
      <c r="B3039" s="21"/>
      <c r="C3039" s="23"/>
      <c r="D3039" s="380"/>
      <c r="E3039" s="23"/>
      <c r="F3039" s="22"/>
      <c r="G3039" s="22"/>
      <c r="H3039" s="22"/>
      <c r="I3039" s="22"/>
      <c r="J3039" s="22"/>
      <c r="K3039" s="22"/>
      <c r="L3039" s="22"/>
      <c r="M3039" s="22"/>
      <c r="N3039" s="22"/>
      <c r="O3039" s="23"/>
      <c r="P3039" s="23"/>
      <c r="Q3039" s="216"/>
      <c r="R3039" s="216"/>
      <c r="S3039" s="877"/>
      <c r="T3039" s="877"/>
      <c r="U3039" s="877"/>
      <c r="V3039" s="22"/>
      <c r="X3039" s="16">
        <f t="shared" si="462"/>
        <v>0</v>
      </c>
      <c r="Y3039" s="16">
        <f t="shared" si="461"/>
        <v>0</v>
      </c>
    </row>
    <row r="3040" spans="2:25" s="39" customFormat="1" ht="15.95" customHeight="1">
      <c r="B3040" s="21"/>
      <c r="C3040" s="23"/>
      <c r="D3040" s="380"/>
      <c r="E3040" s="23"/>
      <c r="F3040" s="22"/>
      <c r="G3040" s="22"/>
      <c r="H3040" s="22"/>
      <c r="I3040" s="22"/>
      <c r="J3040" s="22"/>
      <c r="K3040" s="22"/>
      <c r="L3040" s="22"/>
      <c r="M3040" s="22"/>
      <c r="N3040" s="22"/>
      <c r="O3040" s="23"/>
      <c r="P3040" s="23"/>
      <c r="Q3040" s="216"/>
      <c r="R3040" s="216"/>
      <c r="S3040" s="877"/>
      <c r="T3040" s="877"/>
      <c r="U3040" s="877"/>
      <c r="V3040" s="22"/>
      <c r="X3040" s="16">
        <f t="shared" si="462"/>
        <v>0</v>
      </c>
      <c r="Y3040" s="16">
        <f t="shared" si="461"/>
        <v>0</v>
      </c>
    </row>
    <row r="3041" spans="2:22" s="39" customFormat="1" ht="15.95" customHeight="1">
      <c r="B3041" s="21"/>
      <c r="C3041" s="23"/>
      <c r="D3041" s="380"/>
      <c r="E3041" s="23"/>
      <c r="F3041" s="22"/>
      <c r="G3041" s="22"/>
      <c r="H3041" s="22"/>
      <c r="I3041" s="22"/>
      <c r="J3041" s="22"/>
      <c r="K3041" s="22"/>
      <c r="L3041" s="22"/>
      <c r="M3041" s="22"/>
      <c r="N3041" s="22"/>
      <c r="O3041" s="23"/>
      <c r="P3041" s="23"/>
      <c r="Q3041" s="216"/>
      <c r="R3041" s="216"/>
      <c r="S3041" s="877"/>
      <c r="T3041" s="877"/>
      <c r="U3041" s="877"/>
      <c r="V3041" s="22"/>
    </row>
    <row r="3042" spans="2:22" s="39" customFormat="1" ht="15.95" customHeight="1">
      <c r="B3042" s="21"/>
      <c r="C3042" s="23"/>
      <c r="D3042" s="380"/>
      <c r="E3042" s="23"/>
      <c r="F3042" s="22"/>
      <c r="G3042" s="22"/>
      <c r="H3042" s="22"/>
      <c r="I3042" s="22"/>
      <c r="J3042" s="22"/>
      <c r="K3042" s="22"/>
      <c r="L3042" s="22"/>
      <c r="M3042" s="22"/>
      <c r="N3042" s="22"/>
      <c r="O3042" s="23"/>
      <c r="P3042" s="23"/>
      <c r="Q3042" s="216"/>
      <c r="R3042" s="216"/>
      <c r="S3042" s="877"/>
      <c r="T3042" s="877"/>
      <c r="U3042" s="877"/>
      <c r="V3042" s="22"/>
    </row>
    <row r="3043" spans="2:22" s="39" customFormat="1" ht="15.95" customHeight="1">
      <c r="B3043" s="21"/>
      <c r="C3043" s="23"/>
      <c r="D3043" s="380"/>
      <c r="E3043" s="23"/>
      <c r="F3043" s="22"/>
      <c r="G3043" s="22"/>
      <c r="H3043" s="22"/>
      <c r="I3043" s="22"/>
      <c r="J3043" s="22"/>
      <c r="K3043" s="22"/>
      <c r="L3043" s="22"/>
      <c r="M3043" s="22"/>
      <c r="N3043" s="22"/>
      <c r="O3043" s="23"/>
      <c r="P3043" s="23"/>
      <c r="Q3043" s="216"/>
      <c r="R3043" s="216"/>
      <c r="S3043" s="877"/>
      <c r="T3043" s="877"/>
      <c r="U3043" s="877"/>
      <c r="V3043" s="22"/>
    </row>
    <row r="3044" spans="2:22" s="39" customFormat="1" ht="15.95" customHeight="1">
      <c r="B3044" s="21"/>
      <c r="C3044" s="23"/>
      <c r="D3044" s="380"/>
      <c r="E3044" s="23"/>
      <c r="F3044" s="22"/>
      <c r="G3044" s="22"/>
      <c r="H3044" s="22"/>
      <c r="I3044" s="22"/>
      <c r="J3044" s="22"/>
      <c r="K3044" s="22"/>
      <c r="L3044" s="22"/>
      <c r="M3044" s="22"/>
      <c r="N3044" s="22"/>
      <c r="O3044" s="23"/>
      <c r="P3044" s="23"/>
      <c r="Q3044" s="216"/>
      <c r="R3044" s="216"/>
      <c r="S3044" s="877"/>
      <c r="T3044" s="877"/>
      <c r="U3044" s="877"/>
      <c r="V3044" s="22"/>
    </row>
    <row r="3045" spans="2:22" s="39" customFormat="1" ht="15.95" customHeight="1">
      <c r="B3045" s="21"/>
      <c r="C3045" s="23"/>
      <c r="D3045" s="380"/>
      <c r="E3045" s="23"/>
      <c r="F3045" s="22"/>
      <c r="G3045" s="22"/>
      <c r="H3045" s="22"/>
      <c r="I3045" s="22"/>
      <c r="J3045" s="22"/>
      <c r="K3045" s="22"/>
      <c r="L3045" s="22"/>
      <c r="M3045" s="22"/>
      <c r="N3045" s="22"/>
      <c r="O3045" s="23"/>
      <c r="P3045" s="23"/>
      <c r="Q3045" s="216"/>
      <c r="R3045" s="216"/>
      <c r="S3045" s="877"/>
      <c r="T3045" s="877"/>
      <c r="U3045" s="877"/>
      <c r="V3045" s="22"/>
    </row>
    <row r="3046" spans="2:22" s="39" customFormat="1" ht="15.95" customHeight="1">
      <c r="B3046" s="21"/>
      <c r="C3046" s="23"/>
      <c r="D3046" s="380"/>
      <c r="E3046" s="23"/>
      <c r="F3046" s="22"/>
      <c r="G3046" s="22"/>
      <c r="H3046" s="22"/>
      <c r="I3046" s="22"/>
      <c r="J3046" s="22"/>
      <c r="K3046" s="22"/>
      <c r="L3046" s="22"/>
      <c r="M3046" s="22"/>
      <c r="N3046" s="22"/>
      <c r="O3046" s="23"/>
      <c r="P3046" s="23"/>
      <c r="Q3046" s="216"/>
      <c r="R3046" s="216"/>
      <c r="S3046" s="877"/>
      <c r="T3046" s="877"/>
      <c r="U3046" s="877"/>
      <c r="V3046" s="22"/>
    </row>
    <row r="3047" spans="2:22" s="39" customFormat="1" ht="15.95" customHeight="1">
      <c r="B3047" s="21"/>
      <c r="C3047" s="23"/>
      <c r="D3047" s="380"/>
      <c r="E3047" s="23"/>
      <c r="F3047" s="22"/>
      <c r="G3047" s="22"/>
      <c r="H3047" s="22"/>
      <c r="I3047" s="22"/>
      <c r="J3047" s="22"/>
      <c r="K3047" s="22"/>
      <c r="L3047" s="22"/>
      <c r="M3047" s="22"/>
      <c r="N3047" s="22"/>
      <c r="O3047" s="23"/>
      <c r="P3047" s="23"/>
      <c r="Q3047" s="216"/>
      <c r="R3047" s="216"/>
      <c r="S3047" s="877"/>
      <c r="T3047" s="877"/>
      <c r="U3047" s="877"/>
      <c r="V3047" s="22"/>
    </row>
    <row r="3048" spans="2:22" s="39" customFormat="1" ht="15.95" customHeight="1">
      <c r="B3048" s="21"/>
      <c r="C3048" s="23"/>
      <c r="D3048" s="380"/>
      <c r="E3048" s="23"/>
      <c r="F3048" s="22"/>
      <c r="G3048" s="22"/>
      <c r="H3048" s="22"/>
      <c r="I3048" s="22"/>
      <c r="J3048" s="22"/>
      <c r="K3048" s="22"/>
      <c r="L3048" s="22"/>
      <c r="M3048" s="22"/>
      <c r="N3048" s="22"/>
      <c r="O3048" s="23"/>
      <c r="P3048" s="23"/>
      <c r="Q3048" s="216"/>
      <c r="R3048" s="216"/>
      <c r="S3048" s="877"/>
      <c r="T3048" s="877"/>
      <c r="U3048" s="877"/>
      <c r="V3048" s="22"/>
    </row>
    <row r="3049" spans="2:22" s="39" customFormat="1" ht="15.95" customHeight="1">
      <c r="B3049" s="21"/>
      <c r="C3049" s="23"/>
      <c r="D3049" s="380"/>
      <c r="E3049" s="23"/>
      <c r="F3049" s="22"/>
      <c r="G3049" s="22"/>
      <c r="H3049" s="22"/>
      <c r="I3049" s="22"/>
      <c r="J3049" s="22"/>
      <c r="K3049" s="22"/>
      <c r="L3049" s="22"/>
      <c r="M3049" s="22"/>
      <c r="N3049" s="22"/>
      <c r="O3049" s="23"/>
      <c r="P3049" s="23"/>
      <c r="Q3049" s="216"/>
      <c r="R3049" s="216"/>
      <c r="S3049" s="877"/>
      <c r="T3049" s="877"/>
      <c r="U3049" s="877"/>
      <c r="V3049" s="22"/>
    </row>
    <row r="3050" spans="2:22" s="39" customFormat="1" ht="15.95" customHeight="1">
      <c r="B3050" s="21"/>
      <c r="C3050" s="23"/>
      <c r="D3050" s="380"/>
      <c r="E3050" s="23"/>
      <c r="F3050" s="22"/>
      <c r="G3050" s="22"/>
      <c r="H3050" s="22"/>
      <c r="I3050" s="22"/>
      <c r="J3050" s="22"/>
      <c r="K3050" s="22"/>
      <c r="L3050" s="22"/>
      <c r="M3050" s="22"/>
      <c r="N3050" s="22"/>
      <c r="O3050" s="23"/>
      <c r="P3050" s="23"/>
      <c r="Q3050" s="216"/>
      <c r="R3050" s="216"/>
      <c r="S3050" s="877"/>
      <c r="T3050" s="877"/>
      <c r="U3050" s="877"/>
      <c r="V3050" s="22"/>
    </row>
    <row r="3051" spans="2:22" s="39" customFormat="1" ht="15.95" customHeight="1">
      <c r="B3051" s="21"/>
      <c r="C3051" s="23"/>
      <c r="D3051" s="380"/>
      <c r="E3051" s="23"/>
      <c r="F3051" s="22"/>
      <c r="G3051" s="22"/>
      <c r="H3051" s="22"/>
      <c r="I3051" s="22"/>
      <c r="J3051" s="22"/>
      <c r="K3051" s="22"/>
      <c r="L3051" s="22"/>
      <c r="M3051" s="22"/>
      <c r="N3051" s="22"/>
      <c r="O3051" s="23"/>
      <c r="P3051" s="23"/>
      <c r="Q3051" s="216"/>
      <c r="R3051" s="216"/>
      <c r="S3051" s="877"/>
      <c r="T3051" s="877"/>
      <c r="U3051" s="877"/>
      <c r="V3051" s="22"/>
    </row>
    <row r="3052" spans="2:22" s="39" customFormat="1" ht="15.95" customHeight="1">
      <c r="B3052" s="21"/>
      <c r="C3052" s="23"/>
      <c r="D3052" s="380"/>
      <c r="E3052" s="23"/>
      <c r="F3052" s="22"/>
      <c r="G3052" s="22"/>
      <c r="H3052" s="22"/>
      <c r="I3052" s="22"/>
      <c r="J3052" s="22"/>
      <c r="K3052" s="22"/>
      <c r="L3052" s="22"/>
      <c r="M3052" s="22"/>
      <c r="N3052" s="22"/>
      <c r="O3052" s="23"/>
      <c r="P3052" s="23"/>
      <c r="Q3052" s="216"/>
      <c r="R3052" s="216"/>
      <c r="S3052" s="877"/>
      <c r="T3052" s="877"/>
      <c r="U3052" s="877"/>
      <c r="V3052" s="22"/>
    </row>
    <row r="3053" spans="2:22" s="39" customFormat="1" ht="15.95" customHeight="1">
      <c r="B3053" s="21"/>
      <c r="C3053" s="23"/>
      <c r="D3053" s="380"/>
      <c r="E3053" s="23"/>
      <c r="F3053" s="22"/>
      <c r="G3053" s="22"/>
      <c r="H3053" s="22"/>
      <c r="I3053" s="22"/>
      <c r="J3053" s="22"/>
      <c r="K3053" s="22"/>
      <c r="L3053" s="22"/>
      <c r="M3053" s="22"/>
      <c r="N3053" s="22"/>
      <c r="O3053" s="23"/>
      <c r="P3053" s="23"/>
      <c r="Q3053" s="216"/>
      <c r="R3053" s="216"/>
      <c r="S3053" s="877"/>
      <c r="T3053" s="877"/>
      <c r="U3053" s="877"/>
      <c r="V3053" s="22"/>
    </row>
    <row r="3054" spans="2:22" s="39" customFormat="1" ht="15.95" customHeight="1">
      <c r="B3054" s="21"/>
      <c r="C3054" s="23"/>
      <c r="D3054" s="380"/>
      <c r="E3054" s="23"/>
      <c r="F3054" s="22"/>
      <c r="G3054" s="22"/>
      <c r="H3054" s="22"/>
      <c r="I3054" s="22"/>
      <c r="J3054" s="22"/>
      <c r="K3054" s="22"/>
      <c r="L3054" s="22"/>
      <c r="M3054" s="22"/>
      <c r="N3054" s="22"/>
      <c r="O3054" s="23"/>
      <c r="P3054" s="23"/>
      <c r="Q3054" s="216"/>
      <c r="R3054" s="216"/>
      <c r="S3054" s="877"/>
      <c r="T3054" s="877"/>
      <c r="U3054" s="877"/>
      <c r="V3054" s="22"/>
    </row>
    <row r="3055" spans="2:22" s="39" customFormat="1" ht="15.95" customHeight="1">
      <c r="B3055" s="21"/>
      <c r="C3055" s="23"/>
      <c r="D3055" s="380"/>
      <c r="E3055" s="23"/>
      <c r="F3055" s="22"/>
      <c r="G3055" s="22"/>
      <c r="H3055" s="22"/>
      <c r="I3055" s="22"/>
      <c r="J3055" s="22"/>
      <c r="K3055" s="22"/>
      <c r="L3055" s="22"/>
      <c r="M3055" s="22"/>
      <c r="N3055" s="22"/>
      <c r="O3055" s="23"/>
      <c r="P3055" s="23"/>
      <c r="Q3055" s="216"/>
      <c r="R3055" s="216"/>
      <c r="S3055" s="877"/>
      <c r="T3055" s="877"/>
      <c r="U3055" s="877"/>
      <c r="V3055" s="22"/>
    </row>
    <row r="3056" spans="2:22" s="39" customFormat="1" ht="15.95" customHeight="1">
      <c r="B3056" s="21"/>
      <c r="C3056" s="23"/>
      <c r="D3056" s="380"/>
      <c r="E3056" s="23"/>
      <c r="F3056" s="22"/>
      <c r="G3056" s="22"/>
      <c r="H3056" s="22"/>
      <c r="I3056" s="22"/>
      <c r="J3056" s="22"/>
      <c r="K3056" s="22"/>
      <c r="L3056" s="22"/>
      <c r="M3056" s="22"/>
      <c r="N3056" s="22"/>
      <c r="O3056" s="23"/>
      <c r="P3056" s="23"/>
      <c r="Q3056" s="216"/>
      <c r="R3056" s="216"/>
      <c r="S3056" s="877"/>
      <c r="T3056" s="877"/>
      <c r="U3056" s="877"/>
      <c r="V3056" s="22"/>
    </row>
    <row r="3057" spans="2:22" s="39" customFormat="1" ht="15.95" customHeight="1">
      <c r="B3057" s="21"/>
      <c r="C3057" s="23"/>
      <c r="D3057" s="380"/>
      <c r="E3057" s="23"/>
      <c r="F3057" s="22"/>
      <c r="G3057" s="22"/>
      <c r="H3057" s="22"/>
      <c r="I3057" s="22"/>
      <c r="J3057" s="22"/>
      <c r="K3057" s="22"/>
      <c r="L3057" s="22"/>
      <c r="M3057" s="22"/>
      <c r="N3057" s="22"/>
      <c r="O3057" s="23"/>
      <c r="P3057" s="23"/>
      <c r="Q3057" s="216"/>
      <c r="R3057" s="216"/>
      <c r="S3057" s="877"/>
      <c r="T3057" s="877"/>
      <c r="U3057" s="877"/>
      <c r="V3057" s="22"/>
    </row>
    <row r="3058" spans="2:22" s="39" customFormat="1" ht="15.95" customHeight="1">
      <c r="B3058" s="21"/>
      <c r="C3058" s="23"/>
      <c r="D3058" s="380"/>
      <c r="E3058" s="23"/>
      <c r="F3058" s="22"/>
      <c r="G3058" s="22"/>
      <c r="H3058" s="22"/>
      <c r="I3058" s="22"/>
      <c r="J3058" s="22"/>
      <c r="K3058" s="22"/>
      <c r="L3058" s="22"/>
      <c r="M3058" s="22"/>
      <c r="N3058" s="22"/>
      <c r="O3058" s="23"/>
      <c r="P3058" s="23"/>
      <c r="Q3058" s="216"/>
      <c r="R3058" s="216"/>
      <c r="S3058" s="877"/>
      <c r="T3058" s="877"/>
      <c r="U3058" s="877"/>
      <c r="V3058" s="22"/>
    </row>
    <row r="3059" spans="2:22" s="39" customFormat="1" ht="15.95" customHeight="1">
      <c r="B3059" s="21"/>
      <c r="C3059" s="23"/>
      <c r="D3059" s="380"/>
      <c r="E3059" s="23"/>
      <c r="F3059" s="22"/>
      <c r="G3059" s="22"/>
      <c r="H3059" s="22"/>
      <c r="I3059" s="22"/>
      <c r="J3059" s="22"/>
      <c r="K3059" s="22"/>
      <c r="L3059" s="22"/>
      <c r="M3059" s="22"/>
      <c r="N3059" s="22"/>
      <c r="O3059" s="23"/>
      <c r="P3059" s="23"/>
      <c r="Q3059" s="216"/>
      <c r="R3059" s="216"/>
      <c r="S3059" s="877"/>
      <c r="T3059" s="877"/>
      <c r="U3059" s="877"/>
      <c r="V3059" s="22"/>
    </row>
    <row r="3060" spans="2:22" s="39" customFormat="1" ht="15.95" customHeight="1">
      <c r="B3060" s="21"/>
      <c r="C3060" s="23"/>
      <c r="D3060" s="380"/>
      <c r="E3060" s="23"/>
      <c r="F3060" s="22"/>
      <c r="G3060" s="22"/>
      <c r="H3060" s="22"/>
      <c r="I3060" s="22"/>
      <c r="J3060" s="22"/>
      <c r="K3060" s="22"/>
      <c r="L3060" s="22"/>
      <c r="M3060" s="22"/>
      <c r="N3060" s="22"/>
      <c r="O3060" s="23"/>
      <c r="P3060" s="23"/>
      <c r="Q3060" s="216"/>
      <c r="R3060" s="216"/>
      <c r="S3060" s="877"/>
      <c r="T3060" s="877"/>
      <c r="U3060" s="877"/>
      <c r="V3060" s="22"/>
    </row>
    <row r="3061" spans="2:22" s="39" customFormat="1" ht="15.95" customHeight="1">
      <c r="B3061" s="21"/>
      <c r="C3061" s="23"/>
      <c r="D3061" s="380"/>
      <c r="E3061" s="23"/>
      <c r="F3061" s="22"/>
      <c r="G3061" s="22"/>
      <c r="H3061" s="22"/>
      <c r="I3061" s="22"/>
      <c r="J3061" s="22"/>
      <c r="K3061" s="22"/>
      <c r="L3061" s="22"/>
      <c r="M3061" s="22"/>
      <c r="N3061" s="22"/>
      <c r="O3061" s="23"/>
      <c r="P3061" s="23"/>
      <c r="Q3061" s="216"/>
      <c r="R3061" s="216"/>
      <c r="S3061" s="877"/>
      <c r="T3061" s="877"/>
      <c r="U3061" s="877"/>
      <c r="V3061" s="22"/>
    </row>
    <row r="3062" spans="2:22" s="39" customFormat="1" ht="15.95" customHeight="1">
      <c r="B3062" s="21"/>
      <c r="C3062" s="23"/>
      <c r="D3062" s="380"/>
      <c r="E3062" s="23"/>
      <c r="F3062" s="22"/>
      <c r="G3062" s="22"/>
      <c r="H3062" s="22"/>
      <c r="I3062" s="22"/>
      <c r="J3062" s="22"/>
      <c r="K3062" s="22"/>
      <c r="L3062" s="22"/>
      <c r="M3062" s="22"/>
      <c r="N3062" s="22"/>
      <c r="O3062" s="23"/>
      <c r="P3062" s="23"/>
      <c r="Q3062" s="216"/>
      <c r="R3062" s="216"/>
      <c r="S3062" s="877"/>
      <c r="T3062" s="877"/>
      <c r="U3062" s="877"/>
      <c r="V3062" s="22"/>
    </row>
    <row r="3063" spans="2:22" s="39" customFormat="1" ht="15.95" customHeight="1">
      <c r="B3063" s="21"/>
      <c r="C3063" s="23"/>
      <c r="D3063" s="380"/>
      <c r="E3063" s="23"/>
      <c r="F3063" s="22"/>
      <c r="G3063" s="22"/>
      <c r="H3063" s="22"/>
      <c r="I3063" s="22"/>
      <c r="J3063" s="22"/>
      <c r="K3063" s="22"/>
      <c r="L3063" s="22"/>
      <c r="M3063" s="22"/>
      <c r="N3063" s="22"/>
      <c r="O3063" s="23"/>
      <c r="P3063" s="23"/>
      <c r="Q3063" s="216"/>
      <c r="R3063" s="216"/>
      <c r="S3063" s="877"/>
      <c r="T3063" s="877"/>
      <c r="U3063" s="877"/>
      <c r="V3063" s="22"/>
    </row>
    <row r="3064" spans="2:22" s="39" customFormat="1" ht="15.95" customHeight="1">
      <c r="B3064" s="21"/>
      <c r="C3064" s="23"/>
      <c r="D3064" s="380"/>
      <c r="E3064" s="23"/>
      <c r="F3064" s="22"/>
      <c r="G3064" s="22"/>
      <c r="H3064" s="22"/>
      <c r="I3064" s="22"/>
      <c r="J3064" s="22"/>
      <c r="K3064" s="22"/>
      <c r="L3064" s="22"/>
      <c r="M3064" s="22"/>
      <c r="N3064" s="22"/>
      <c r="O3064" s="23"/>
      <c r="P3064" s="23"/>
      <c r="Q3064" s="216"/>
      <c r="R3064" s="216"/>
      <c r="S3064" s="877"/>
      <c r="T3064" s="877"/>
      <c r="U3064" s="877"/>
      <c r="V3064" s="22"/>
    </row>
    <row r="3065" spans="2:22" ht="15.95" customHeight="1">
      <c r="C3065" s="23"/>
      <c r="D3065" s="380"/>
      <c r="E3065" s="23"/>
      <c r="F3065" s="22"/>
      <c r="G3065" s="22"/>
      <c r="H3065" s="22"/>
      <c r="I3065" s="22"/>
      <c r="J3065" s="22"/>
      <c r="K3065" s="22"/>
      <c r="L3065" s="22"/>
      <c r="M3065" s="22"/>
      <c r="N3065" s="22"/>
      <c r="P3065" s="23"/>
    </row>
    <row r="3066" spans="2:22" ht="15.95" customHeight="1">
      <c r="C3066" s="23"/>
      <c r="D3066" s="380"/>
    </row>
    <row r="3067" spans="2:22" ht="15.95" customHeight="1">
      <c r="C3067" s="23"/>
      <c r="D3067" s="380"/>
    </row>
    <row r="3068" spans="2:22" ht="15.95" customHeight="1">
      <c r="C3068" s="23"/>
      <c r="D3068" s="380"/>
    </row>
    <row r="3069" spans="2:22" ht="15.95" customHeight="1">
      <c r="C3069" s="23"/>
      <c r="D3069" s="380"/>
    </row>
    <row r="3070" spans="2:22" ht="15.95" customHeight="1">
      <c r="C3070" s="23"/>
      <c r="D3070" s="380"/>
    </row>
    <row r="3071" spans="2:22" ht="15.95" customHeight="1">
      <c r="C3071" s="23"/>
      <c r="D3071" s="380"/>
    </row>
    <row r="3072" spans="2:22" ht="15.95" customHeight="1">
      <c r="C3072" s="23"/>
      <c r="D3072" s="380"/>
    </row>
    <row r="3073" spans="3:4" ht="15.95" customHeight="1">
      <c r="C3073" s="23"/>
      <c r="D3073" s="380"/>
    </row>
    <row r="3074" spans="3:4" ht="15.95" customHeight="1">
      <c r="C3074" s="23"/>
      <c r="D3074" s="380"/>
    </row>
    <row r="3075" spans="3:4" ht="15.95" customHeight="1">
      <c r="C3075" s="23"/>
      <c r="D3075" s="380"/>
    </row>
    <row r="3076" spans="3:4" ht="15.95" customHeight="1">
      <c r="C3076" s="23"/>
      <c r="D3076" s="380"/>
    </row>
    <row r="3077" spans="3:4" ht="15.95" customHeight="1">
      <c r="C3077" s="23"/>
      <c r="D3077" s="380"/>
    </row>
    <row r="3078" spans="3:4" ht="15.95" customHeight="1">
      <c r="C3078" s="23"/>
      <c r="D3078" s="380"/>
    </row>
    <row r="3079" spans="3:4" ht="15.95" customHeight="1">
      <c r="C3079" s="23"/>
      <c r="D3079" s="380"/>
    </row>
    <row r="3080" spans="3:4" ht="15.95" customHeight="1">
      <c r="C3080" s="23"/>
      <c r="D3080" s="380"/>
    </row>
    <row r="3081" spans="3:4" ht="15.95" customHeight="1">
      <c r="C3081" s="23"/>
      <c r="D3081" s="380"/>
    </row>
    <row r="3082" spans="3:4" ht="15.95" customHeight="1">
      <c r="C3082" s="23"/>
      <c r="D3082" s="380"/>
    </row>
    <row r="3083" spans="3:4" ht="15.95" customHeight="1">
      <c r="C3083" s="23"/>
      <c r="D3083" s="380"/>
    </row>
    <row r="3084" spans="3:4" ht="15.95" customHeight="1">
      <c r="C3084" s="23"/>
      <c r="D3084" s="380"/>
    </row>
    <row r="3085" spans="3:4" ht="15.95" customHeight="1">
      <c r="C3085" s="23"/>
      <c r="D3085" s="380"/>
    </row>
    <row r="3086" spans="3:4" ht="15.95" customHeight="1">
      <c r="C3086" s="23"/>
      <c r="D3086" s="380"/>
    </row>
    <row r="3087" spans="3:4" ht="15.95" customHeight="1">
      <c r="C3087" s="23"/>
      <c r="D3087" s="380"/>
    </row>
    <row r="3088" spans="3:4" ht="15.95" customHeight="1">
      <c r="C3088" s="23"/>
      <c r="D3088" s="380"/>
    </row>
    <row r="3089" spans="3:4" ht="15.95" customHeight="1">
      <c r="C3089" s="23"/>
      <c r="D3089" s="380"/>
    </row>
    <row r="3090" spans="3:4" ht="15.95" customHeight="1">
      <c r="C3090" s="23"/>
      <c r="D3090" s="380"/>
    </row>
    <row r="3091" spans="3:4" ht="15.95" customHeight="1">
      <c r="C3091" s="23"/>
      <c r="D3091" s="380"/>
    </row>
    <row r="3092" spans="3:4" ht="15.95" customHeight="1">
      <c r="C3092" s="23"/>
      <c r="D3092" s="380"/>
    </row>
    <row r="3093" spans="3:4" ht="15.95" customHeight="1">
      <c r="C3093" s="23"/>
      <c r="D3093" s="380"/>
    </row>
    <row r="3094" spans="3:4" ht="15.95" customHeight="1">
      <c r="C3094" s="23"/>
      <c r="D3094" s="380"/>
    </row>
    <row r="3095" spans="3:4" ht="15.95" customHeight="1">
      <c r="C3095" s="23"/>
      <c r="D3095" s="380"/>
    </row>
    <row r="3096" spans="3:4" ht="15.95" customHeight="1">
      <c r="C3096" s="23"/>
      <c r="D3096" s="380"/>
    </row>
    <row r="3097" spans="3:4" ht="15.95" customHeight="1">
      <c r="C3097" s="23"/>
      <c r="D3097" s="380"/>
    </row>
    <row r="3098" spans="3:4" ht="15.95" customHeight="1">
      <c r="C3098" s="23"/>
      <c r="D3098" s="380"/>
    </row>
    <row r="3099" spans="3:4" ht="15.95" customHeight="1">
      <c r="C3099" s="23"/>
      <c r="D3099" s="380"/>
    </row>
    <row r="3100" spans="3:4" ht="15.95" customHeight="1">
      <c r="C3100" s="23"/>
      <c r="D3100" s="380"/>
    </row>
    <row r="3101" spans="3:4" ht="15.95" customHeight="1">
      <c r="C3101" s="23"/>
      <c r="D3101" s="380"/>
    </row>
    <row r="3102" spans="3:4" ht="15.95" customHeight="1">
      <c r="C3102" s="23"/>
      <c r="D3102" s="380"/>
    </row>
    <row r="3103" spans="3:4" ht="15.95" customHeight="1">
      <c r="C3103" s="23"/>
      <c r="D3103" s="380"/>
    </row>
    <row r="3104" spans="3:4" ht="15.95" customHeight="1">
      <c r="C3104" s="23"/>
      <c r="D3104" s="380"/>
    </row>
    <row r="3105" spans="3:4" ht="15.95" customHeight="1">
      <c r="C3105" s="23"/>
      <c r="D3105" s="380"/>
    </row>
    <row r="3106" spans="3:4" ht="15.95" customHeight="1">
      <c r="C3106" s="23"/>
      <c r="D3106" s="380"/>
    </row>
    <row r="3107" spans="3:4" ht="15.95" customHeight="1">
      <c r="C3107" s="23"/>
      <c r="D3107" s="380"/>
    </row>
    <row r="3108" spans="3:4" ht="15.95" customHeight="1">
      <c r="C3108" s="23"/>
      <c r="D3108" s="380"/>
    </row>
    <row r="3109" spans="3:4" ht="15.95" customHeight="1">
      <c r="C3109" s="23"/>
      <c r="D3109" s="380"/>
    </row>
    <row r="3110" spans="3:4" ht="15.95" customHeight="1">
      <c r="C3110" s="23"/>
      <c r="D3110" s="380"/>
    </row>
    <row r="3111" spans="3:4" ht="15.95" customHeight="1">
      <c r="C3111" s="23"/>
      <c r="D3111" s="380"/>
    </row>
    <row r="3112" spans="3:4" ht="15.95" customHeight="1">
      <c r="C3112" s="23"/>
      <c r="D3112" s="380"/>
    </row>
    <row r="3113" spans="3:4" ht="15.95" customHeight="1">
      <c r="C3113" s="23"/>
      <c r="D3113" s="380"/>
    </row>
    <row r="3114" spans="3:4" ht="15.95" customHeight="1">
      <c r="C3114" s="23"/>
      <c r="D3114" s="380"/>
    </row>
    <row r="3115" spans="3:4" ht="15.95" customHeight="1">
      <c r="C3115" s="23"/>
      <c r="D3115" s="380"/>
    </row>
    <row r="3116" spans="3:4" ht="15.95" customHeight="1">
      <c r="C3116" s="23"/>
      <c r="D3116" s="380"/>
    </row>
    <row r="3117" spans="3:4" ht="15.95" customHeight="1">
      <c r="C3117" s="23"/>
      <c r="D3117" s="380"/>
    </row>
    <row r="3118" spans="3:4" ht="15.95" customHeight="1">
      <c r="C3118" s="23"/>
      <c r="D3118" s="380"/>
    </row>
    <row r="3119" spans="3:4" ht="15.95" customHeight="1">
      <c r="C3119" s="23"/>
      <c r="D3119" s="380"/>
    </row>
    <row r="3120" spans="3:4" ht="15.95" customHeight="1">
      <c r="C3120" s="23"/>
      <c r="D3120" s="380"/>
    </row>
    <row r="3121" spans="3:4" ht="15.95" customHeight="1">
      <c r="C3121" s="23"/>
      <c r="D3121" s="380"/>
    </row>
    <row r="3122" spans="3:4" ht="15.95" customHeight="1">
      <c r="C3122" s="23"/>
      <c r="D3122" s="380"/>
    </row>
    <row r="3123" spans="3:4" ht="15.95" customHeight="1">
      <c r="C3123" s="23"/>
      <c r="D3123" s="380"/>
    </row>
    <row r="3124" spans="3:4" ht="15.95" customHeight="1">
      <c r="C3124" s="23"/>
      <c r="D3124" s="380"/>
    </row>
    <row r="3125" spans="3:4" ht="15.95" customHeight="1">
      <c r="C3125" s="23"/>
      <c r="D3125" s="380"/>
    </row>
    <row r="3126" spans="3:4" ht="15.95" customHeight="1">
      <c r="C3126" s="23"/>
      <c r="D3126" s="380"/>
    </row>
    <row r="3127" spans="3:4" ht="15.95" customHeight="1">
      <c r="C3127" s="23"/>
      <c r="D3127" s="380"/>
    </row>
    <row r="3128" spans="3:4" ht="15.95" customHeight="1">
      <c r="C3128" s="23"/>
      <c r="D3128" s="380"/>
    </row>
    <row r="3129" spans="3:4" ht="15.95" customHeight="1">
      <c r="C3129" s="23"/>
      <c r="D3129" s="380"/>
    </row>
    <row r="3130" spans="3:4" ht="15.95" customHeight="1">
      <c r="C3130" s="23"/>
      <c r="D3130" s="380"/>
    </row>
    <row r="3131" spans="3:4" ht="15.95" customHeight="1">
      <c r="C3131" s="23"/>
      <c r="D3131" s="380"/>
    </row>
    <row r="3132" spans="3:4" ht="15.95" customHeight="1">
      <c r="C3132" s="23"/>
      <c r="D3132" s="380"/>
    </row>
    <row r="3133" spans="3:4" ht="15.95" customHeight="1">
      <c r="C3133" s="23"/>
      <c r="D3133" s="380"/>
    </row>
    <row r="3134" spans="3:4" ht="15.95" customHeight="1">
      <c r="C3134" s="23"/>
      <c r="D3134" s="380"/>
    </row>
    <row r="3135" spans="3:4" ht="15.95" customHeight="1">
      <c r="C3135" s="23"/>
      <c r="D3135" s="380"/>
    </row>
    <row r="3136" spans="3:4" ht="15.95" customHeight="1">
      <c r="C3136" s="23"/>
      <c r="D3136" s="380"/>
    </row>
    <row r="3137" spans="3:4" ht="15.95" customHeight="1">
      <c r="C3137" s="23"/>
      <c r="D3137" s="380"/>
    </row>
    <row r="3138" spans="3:4" ht="15.95" customHeight="1">
      <c r="C3138" s="23"/>
      <c r="D3138" s="380"/>
    </row>
    <row r="3139" spans="3:4" ht="15.95" customHeight="1">
      <c r="C3139" s="23"/>
      <c r="D3139" s="380"/>
    </row>
    <row r="3140" spans="3:4" ht="15.95" customHeight="1">
      <c r="C3140" s="23"/>
      <c r="D3140" s="380"/>
    </row>
    <row r="3141" spans="3:4" ht="15.95" customHeight="1">
      <c r="C3141" s="23"/>
      <c r="D3141" s="380"/>
    </row>
    <row r="3142" spans="3:4" ht="15.95" customHeight="1">
      <c r="C3142" s="23"/>
      <c r="D3142" s="380"/>
    </row>
    <row r="3143" spans="3:4" ht="15.95" customHeight="1">
      <c r="C3143" s="23"/>
      <c r="D3143" s="380"/>
    </row>
    <row r="3144" spans="3:4" ht="15.95" customHeight="1">
      <c r="C3144" s="23"/>
      <c r="D3144" s="380"/>
    </row>
    <row r="3145" spans="3:4" ht="15.95" customHeight="1">
      <c r="C3145" s="23"/>
      <c r="D3145" s="380"/>
    </row>
    <row r="3146" spans="3:4" ht="15.95" customHeight="1">
      <c r="C3146" s="23"/>
      <c r="D3146" s="380"/>
    </row>
    <row r="3147" spans="3:4" ht="15.95" customHeight="1">
      <c r="C3147" s="23"/>
      <c r="D3147" s="380"/>
    </row>
    <row r="3148" spans="3:4" ht="15.95" customHeight="1">
      <c r="C3148" s="23"/>
      <c r="D3148" s="380"/>
    </row>
    <row r="3149" spans="3:4" ht="15.95" customHeight="1">
      <c r="C3149" s="23"/>
      <c r="D3149" s="380"/>
    </row>
    <row r="3150" spans="3:4" ht="15.95" customHeight="1">
      <c r="C3150" s="23"/>
      <c r="D3150" s="380"/>
    </row>
    <row r="3151" spans="3:4" ht="15.95" customHeight="1">
      <c r="C3151" s="23"/>
      <c r="D3151" s="380"/>
    </row>
    <row r="3152" spans="3:4" ht="15.95" customHeight="1">
      <c r="C3152" s="23"/>
      <c r="D3152" s="380"/>
    </row>
    <row r="3153" spans="3:4" ht="15.95" customHeight="1">
      <c r="C3153" s="23"/>
      <c r="D3153" s="380"/>
    </row>
    <row r="3154" spans="3:4" ht="15.95" customHeight="1">
      <c r="C3154" s="23"/>
      <c r="D3154" s="380"/>
    </row>
    <row r="3155" spans="3:4" ht="15.95" customHeight="1">
      <c r="C3155" s="23"/>
      <c r="D3155" s="380"/>
    </row>
    <row r="3156" spans="3:4" ht="15.95" customHeight="1">
      <c r="C3156" s="23"/>
      <c r="D3156" s="380"/>
    </row>
    <row r="3157" spans="3:4" ht="15.95" customHeight="1">
      <c r="C3157" s="23"/>
      <c r="D3157" s="380"/>
    </row>
    <row r="3158" spans="3:4" ht="15.95" customHeight="1">
      <c r="C3158" s="23"/>
      <c r="D3158" s="380"/>
    </row>
    <row r="3159" spans="3:4" ht="15.95" customHeight="1">
      <c r="C3159" s="23"/>
      <c r="D3159" s="380"/>
    </row>
    <row r="3160" spans="3:4" ht="15.95" customHeight="1">
      <c r="C3160" s="23"/>
      <c r="D3160" s="380"/>
    </row>
    <row r="3161" spans="3:4" ht="15.95" customHeight="1">
      <c r="C3161" s="23"/>
      <c r="D3161" s="380"/>
    </row>
    <row r="3162" spans="3:4" ht="15.95" customHeight="1">
      <c r="C3162" s="23"/>
      <c r="D3162" s="380"/>
    </row>
    <row r="3163" spans="3:4" ht="15.95" customHeight="1">
      <c r="C3163" s="23"/>
      <c r="D3163" s="380"/>
    </row>
    <row r="3164" spans="3:4" ht="15.95" customHeight="1">
      <c r="C3164" s="23"/>
      <c r="D3164" s="380"/>
    </row>
    <row r="3165" spans="3:4" ht="15.95" customHeight="1">
      <c r="C3165" s="23"/>
      <c r="D3165" s="380"/>
    </row>
    <row r="3166" spans="3:4" ht="15.95" customHeight="1">
      <c r="C3166" s="23"/>
      <c r="D3166" s="380"/>
    </row>
    <row r="3167" spans="3:4" ht="15.95" customHeight="1">
      <c r="C3167" s="23"/>
      <c r="D3167" s="380"/>
    </row>
    <row r="3168" spans="3:4" ht="15.95" customHeight="1">
      <c r="C3168" s="23"/>
      <c r="D3168" s="380"/>
    </row>
    <row r="3169" spans="3:4" ht="15.95" customHeight="1">
      <c r="C3169" s="23"/>
      <c r="D3169" s="380"/>
    </row>
    <row r="3170" spans="3:4" ht="15.95" customHeight="1">
      <c r="C3170" s="23"/>
      <c r="D3170" s="380"/>
    </row>
    <row r="3171" spans="3:4" ht="15.95" customHeight="1">
      <c r="C3171" s="23"/>
      <c r="D3171" s="380"/>
    </row>
    <row r="3172" spans="3:4" ht="15.95" customHeight="1">
      <c r="C3172" s="23"/>
      <c r="D3172" s="380"/>
    </row>
    <row r="3173" spans="3:4" ht="15.95" customHeight="1">
      <c r="C3173" s="23"/>
      <c r="D3173" s="380"/>
    </row>
    <row r="3174" spans="3:4" ht="15.95" customHeight="1">
      <c r="C3174" s="23"/>
      <c r="D3174" s="380"/>
    </row>
    <row r="3175" spans="3:4" ht="15.95" customHeight="1">
      <c r="C3175" s="23"/>
      <c r="D3175" s="380"/>
    </row>
    <row r="3176" spans="3:4" ht="15.95" customHeight="1">
      <c r="C3176" s="23"/>
      <c r="D3176" s="380"/>
    </row>
    <row r="3177" spans="3:4" ht="15.95" customHeight="1">
      <c r="C3177" s="23"/>
      <c r="D3177" s="380"/>
    </row>
    <row r="3178" spans="3:4" ht="15.95" customHeight="1">
      <c r="C3178" s="23"/>
      <c r="D3178" s="380"/>
    </row>
    <row r="3179" spans="3:4" ht="15.95" customHeight="1">
      <c r="C3179" s="23"/>
      <c r="D3179" s="380"/>
    </row>
    <row r="3180" spans="3:4" ht="15.95" customHeight="1">
      <c r="C3180" s="23"/>
      <c r="D3180" s="380"/>
    </row>
    <row r="3181" spans="3:4" ht="15.95" customHeight="1">
      <c r="C3181" s="23"/>
      <c r="D3181" s="380"/>
    </row>
    <row r="3182" spans="3:4" ht="15.95" customHeight="1">
      <c r="C3182" s="23"/>
      <c r="D3182" s="380"/>
    </row>
    <row r="3183" spans="3:4" ht="15.95" customHeight="1">
      <c r="C3183" s="23"/>
      <c r="D3183" s="380"/>
    </row>
    <row r="3184" spans="3:4" ht="15.95" customHeight="1">
      <c r="C3184" s="23"/>
      <c r="D3184" s="380"/>
    </row>
    <row r="3346" spans="3:3" ht="15.95" customHeight="1">
      <c r="C3346" s="195" t="s">
        <v>23</v>
      </c>
    </row>
    <row r="3347" spans="3:3" ht="15.95" customHeight="1">
      <c r="C3347" s="195" t="s">
        <v>24</v>
      </c>
    </row>
  </sheetData>
  <customSheetViews>
    <customSheetView guid="{0D143C80-1B42-417D-B6C0-C88521CF36C7}" showPageBreaks="1" printArea="1" hiddenRows="1" hiddenColumns="1" view="pageBreakPreview">
      <pane xSplit="2" ySplit="5" topLeftCell="C117" activePane="bottomRight" state="frozen"/>
      <selection pane="bottomRight" activeCell="C119" sqref="C119"/>
      <rowBreaks count="15" manualBreakCount="15">
        <brk id="43" max="22" man="1"/>
        <brk id="74" max="22" man="1"/>
        <brk id="103" max="22" man="1"/>
        <brk id="371" max="22" man="1"/>
        <brk id="393" max="22" man="1"/>
        <brk id="1069" max="22" man="1"/>
        <brk id="1126" max="22" man="1"/>
        <brk id="1474" max="22" man="1"/>
        <brk id="1504" max="22" man="1"/>
        <brk id="1656" max="22" man="1"/>
        <brk id="1970" max="22" man="1"/>
        <brk id="2023" max="22" man="1"/>
        <brk id="2066" max="22" man="1"/>
        <brk id="2628" max="22" man="1"/>
        <brk id="2787" max="22" man="1"/>
      </rowBreaks>
      <pageMargins left="0" right="0" top="0.3" bottom="0.3" header="0.17" footer="0.25"/>
      <printOptions horizontalCentered="1"/>
      <pageSetup paperSize="9" scale="54" orientation="landscape" r:id="rId1"/>
      <headerFooter>
        <oddFooter>&amp;C&amp;8&amp;P of &amp;N&amp;R&amp;8as of 28Dec13</oddFooter>
      </headerFooter>
    </customSheetView>
    <customSheetView guid="{5032F846-223D-4C05-81F5-66ECC60A941D}" showPageBreaks="1" printArea="1" hiddenRows="1" hiddenColumns="1" view="pageBreakPreview">
      <pane xSplit="2" ySplit="5" topLeftCell="C302" activePane="bottomRight" state="frozen"/>
      <selection pane="bottomRight" activeCell="E337" sqref="E337:F337"/>
      <rowBreaks count="26" manualBreakCount="26">
        <brk id="44" max="16383" man="1"/>
        <brk id="79" max="22" man="1"/>
        <brk id="111" max="22" man="1"/>
        <brk id="181" max="22" man="1"/>
        <brk id="234" max="22" man="1"/>
        <brk id="276" max="22" man="1"/>
        <brk id="326" max="22" man="1"/>
        <brk id="387" max="22" man="1"/>
        <brk id="1351" max="22" man="1"/>
        <brk id="1506" max="22" man="1"/>
        <brk id="1518" max="22" man="1"/>
        <brk id="1546" max="22" man="1"/>
        <brk id="1682" max="22" man="1"/>
        <brk id="1699" max="22" man="1"/>
        <brk id="1831" max="22" man="1"/>
        <brk id="1865" max="22" man="1"/>
        <brk id="1908" max="22" man="1"/>
        <brk id="1937" max="22" man="1"/>
        <brk id="1993" max="22" man="1"/>
        <brk id="2043" max="22" man="1"/>
        <brk id="2091" max="22" man="1"/>
        <brk id="2450" max="22" man="1"/>
        <brk id="2597" max="22" man="1"/>
        <brk id="2676" max="22" man="1"/>
        <brk id="2796" max="22" man="1"/>
        <brk id="2853" max="16383" man="1"/>
      </rowBreaks>
      <pageMargins left="0.36" right="0.2" top="0.27" bottom="0.39" header="0.17" footer="0.25"/>
      <printOptions horizontalCentered="1"/>
      <pageSetup paperSize="9" scale="51" orientation="landscape" r:id="rId2"/>
      <headerFooter>
        <oddFooter>&amp;C&amp;8&amp;P of &amp;N&amp;R&amp;8as of 28Dec13</oddFooter>
      </headerFooter>
    </customSheetView>
  </customSheetViews>
  <mergeCells count="622">
    <mergeCell ref="S1492:U1492"/>
    <mergeCell ref="S1568:U1568"/>
    <mergeCell ref="S356:U356"/>
    <mergeCell ref="S1571:U1571"/>
    <mergeCell ref="S1573:U1573"/>
    <mergeCell ref="S2847:U2847"/>
    <mergeCell ref="S544:U544"/>
    <mergeCell ref="S545:U545"/>
    <mergeCell ref="S546:U546"/>
    <mergeCell ref="S547:U547"/>
    <mergeCell ref="S548:U548"/>
    <mergeCell ref="S549:U549"/>
    <mergeCell ref="S550:U550"/>
    <mergeCell ref="S551:U551"/>
    <mergeCell ref="S552:U552"/>
    <mergeCell ref="S570:U570"/>
    <mergeCell ref="S553:U553"/>
    <mergeCell ref="S554:U554"/>
    <mergeCell ref="S555:U555"/>
    <mergeCell ref="S556:U556"/>
    <mergeCell ref="S557:U557"/>
    <mergeCell ref="S756:U756"/>
    <mergeCell ref="S757:U757"/>
    <mergeCell ref="S758:U758"/>
    <mergeCell ref="S1477:U1477"/>
    <mergeCell ref="S1489:U1489"/>
    <mergeCell ref="S1490:U1490"/>
    <mergeCell ref="S561:U561"/>
    <mergeCell ref="S562:U562"/>
    <mergeCell ref="S563:U563"/>
    <mergeCell ref="S564:U564"/>
    <mergeCell ref="S565:U565"/>
    <mergeCell ref="S566:U566"/>
    <mergeCell ref="S567:U567"/>
    <mergeCell ref="S568:U568"/>
    <mergeCell ref="S569:U569"/>
    <mergeCell ref="S741:U741"/>
    <mergeCell ref="S731:U731"/>
    <mergeCell ref="S732:U732"/>
    <mergeCell ref="S733:U733"/>
    <mergeCell ref="S734:U734"/>
    <mergeCell ref="S735:U735"/>
    <mergeCell ref="S736:U736"/>
    <mergeCell ref="S737:U737"/>
    <mergeCell ref="S738:U738"/>
    <mergeCell ref="S744:U744"/>
    <mergeCell ref="S745:U745"/>
    <mergeCell ref="S746:U746"/>
    <mergeCell ref="S747:U747"/>
    <mergeCell ref="S748:U748"/>
    <mergeCell ref="S749:U749"/>
    <mergeCell ref="S740:U740"/>
    <mergeCell ref="S742:U742"/>
    <mergeCell ref="S743:U743"/>
    <mergeCell ref="S535:U535"/>
    <mergeCell ref="S536:U536"/>
    <mergeCell ref="S537:U537"/>
    <mergeCell ref="S538:U538"/>
    <mergeCell ref="S539:U539"/>
    <mergeCell ref="S540:U540"/>
    <mergeCell ref="S558:U558"/>
    <mergeCell ref="S559:U559"/>
    <mergeCell ref="S560:U560"/>
    <mergeCell ref="S541:U541"/>
    <mergeCell ref="S542:U542"/>
    <mergeCell ref="S543:U543"/>
    <mergeCell ref="S727:U727"/>
    <mergeCell ref="S728:U728"/>
    <mergeCell ref="S729:U729"/>
    <mergeCell ref="S730:U730"/>
    <mergeCell ref="S713:U713"/>
    <mergeCell ref="S714:U714"/>
    <mergeCell ref="S2871:U2871"/>
    <mergeCell ref="S2872:U2872"/>
    <mergeCell ref="S571:U571"/>
    <mergeCell ref="S572:U572"/>
    <mergeCell ref="S573:U573"/>
    <mergeCell ref="S574:U574"/>
    <mergeCell ref="S576:U576"/>
    <mergeCell ref="S577:U577"/>
    <mergeCell ref="S578:U578"/>
    <mergeCell ref="S579:U579"/>
    <mergeCell ref="S769:U769"/>
    <mergeCell ref="S770:U770"/>
    <mergeCell ref="S771:U771"/>
    <mergeCell ref="S772:U772"/>
    <mergeCell ref="S773:U773"/>
    <mergeCell ref="S774:U774"/>
    <mergeCell ref="S775:U775"/>
    <mergeCell ref="S776:U776"/>
    <mergeCell ref="S739:U739"/>
    <mergeCell ref="S722:U722"/>
    <mergeCell ref="S723:U723"/>
    <mergeCell ref="S724:U724"/>
    <mergeCell ref="S725:U725"/>
    <mergeCell ref="S726:U726"/>
    <mergeCell ref="S517:U517"/>
    <mergeCell ref="S518:U518"/>
    <mergeCell ref="S519:U519"/>
    <mergeCell ref="S520:U520"/>
    <mergeCell ref="S521:U521"/>
    <mergeCell ref="S522:U522"/>
    <mergeCell ref="S523:U523"/>
    <mergeCell ref="S524:U524"/>
    <mergeCell ref="S525:U525"/>
    <mergeCell ref="S526:U526"/>
    <mergeCell ref="S527:U527"/>
    <mergeCell ref="S528:U528"/>
    <mergeCell ref="S529:U529"/>
    <mergeCell ref="S530:U530"/>
    <mergeCell ref="S531:U531"/>
    <mergeCell ref="S532:U532"/>
    <mergeCell ref="S533:U533"/>
    <mergeCell ref="S534:U534"/>
    <mergeCell ref="S508:U508"/>
    <mergeCell ref="S509:U509"/>
    <mergeCell ref="S510:U510"/>
    <mergeCell ref="S511:U511"/>
    <mergeCell ref="S512:U512"/>
    <mergeCell ref="S513:U513"/>
    <mergeCell ref="S514:U514"/>
    <mergeCell ref="S515:U515"/>
    <mergeCell ref="S516:U516"/>
    <mergeCell ref="S498:U498"/>
    <mergeCell ref="S499:U499"/>
    <mergeCell ref="S500:U500"/>
    <mergeCell ref="S501:U501"/>
    <mergeCell ref="S502:U502"/>
    <mergeCell ref="S503:U503"/>
    <mergeCell ref="S504:U504"/>
    <mergeCell ref="S506:U506"/>
    <mergeCell ref="S507:U507"/>
    <mergeCell ref="S488:U488"/>
    <mergeCell ref="S489:U489"/>
    <mergeCell ref="S490:U490"/>
    <mergeCell ref="S491:U491"/>
    <mergeCell ref="S492:U492"/>
    <mergeCell ref="S493:U493"/>
    <mergeCell ref="S494:U494"/>
    <mergeCell ref="S495:U495"/>
    <mergeCell ref="S497:U497"/>
    <mergeCell ref="S479:U479"/>
    <mergeCell ref="S480:U480"/>
    <mergeCell ref="S481:U481"/>
    <mergeCell ref="S482:U482"/>
    <mergeCell ref="S483:U483"/>
    <mergeCell ref="S484:U484"/>
    <mergeCell ref="S485:U485"/>
    <mergeCell ref="S486:U486"/>
    <mergeCell ref="S487:U487"/>
    <mergeCell ref="S470:U470"/>
    <mergeCell ref="S471:U471"/>
    <mergeCell ref="S472:U472"/>
    <mergeCell ref="S473:U473"/>
    <mergeCell ref="S474:U474"/>
    <mergeCell ref="S475:U475"/>
    <mergeCell ref="S476:U476"/>
    <mergeCell ref="S477:U477"/>
    <mergeCell ref="S478:U478"/>
    <mergeCell ref="S462:U462"/>
    <mergeCell ref="S463:U463"/>
    <mergeCell ref="S464:U464"/>
    <mergeCell ref="S465:U465"/>
    <mergeCell ref="S466:U466"/>
    <mergeCell ref="S467:U467"/>
    <mergeCell ref="S468:U468"/>
    <mergeCell ref="S469:U469"/>
    <mergeCell ref="S768:U768"/>
    <mergeCell ref="S759:U759"/>
    <mergeCell ref="S760:U760"/>
    <mergeCell ref="S761:U761"/>
    <mergeCell ref="S762:U762"/>
    <mergeCell ref="S763:U763"/>
    <mergeCell ref="S764:U764"/>
    <mergeCell ref="S765:U765"/>
    <mergeCell ref="S766:U766"/>
    <mergeCell ref="S767:U767"/>
    <mergeCell ref="S750:U750"/>
    <mergeCell ref="S751:U751"/>
    <mergeCell ref="S752:U752"/>
    <mergeCell ref="S753:U753"/>
    <mergeCell ref="S754:U754"/>
    <mergeCell ref="S755:U755"/>
    <mergeCell ref="S715:U715"/>
    <mergeCell ref="S716:U716"/>
    <mergeCell ref="S717:U717"/>
    <mergeCell ref="S718:U718"/>
    <mergeCell ref="S719:U719"/>
    <mergeCell ref="S720:U720"/>
    <mergeCell ref="S721:U721"/>
    <mergeCell ref="S704:U704"/>
    <mergeCell ref="S705:U705"/>
    <mergeCell ref="S706:U706"/>
    <mergeCell ref="S707:U707"/>
    <mergeCell ref="S708:U708"/>
    <mergeCell ref="S709:U709"/>
    <mergeCell ref="S710:U710"/>
    <mergeCell ref="S711:U711"/>
    <mergeCell ref="S712:U712"/>
    <mergeCell ref="S695:U695"/>
    <mergeCell ref="S696:U696"/>
    <mergeCell ref="S697:U697"/>
    <mergeCell ref="S698:U698"/>
    <mergeCell ref="S699:U699"/>
    <mergeCell ref="S700:U700"/>
    <mergeCell ref="S701:U701"/>
    <mergeCell ref="S702:U702"/>
    <mergeCell ref="S703:U703"/>
    <mergeCell ref="S866:U866"/>
    <mergeCell ref="S864:U864"/>
    <mergeCell ref="S863:U863"/>
    <mergeCell ref="S862:U862"/>
    <mergeCell ref="S861:U861"/>
    <mergeCell ref="S860:U860"/>
    <mergeCell ref="S859:U859"/>
    <mergeCell ref="S857:U857"/>
    <mergeCell ref="S679:U679"/>
    <mergeCell ref="S680:U680"/>
    <mergeCell ref="S681:U681"/>
    <mergeCell ref="S682:U682"/>
    <mergeCell ref="S683:U683"/>
    <mergeCell ref="S684:U684"/>
    <mergeCell ref="S685:U685"/>
    <mergeCell ref="S686:U686"/>
    <mergeCell ref="S687:U687"/>
    <mergeCell ref="S688:U688"/>
    <mergeCell ref="S689:U689"/>
    <mergeCell ref="S690:U690"/>
    <mergeCell ref="S691:U691"/>
    <mergeCell ref="S692:U692"/>
    <mergeCell ref="S693:U693"/>
    <mergeCell ref="S694:U694"/>
    <mergeCell ref="S1089:U1089"/>
    <mergeCell ref="S1087:U1087"/>
    <mergeCell ref="S1085:U1085"/>
    <mergeCell ref="S1082:U1082"/>
    <mergeCell ref="S1081:U1081"/>
    <mergeCell ref="S879:U879"/>
    <mergeCell ref="S870:U870"/>
    <mergeCell ref="S869:U869"/>
    <mergeCell ref="S868:U868"/>
    <mergeCell ref="S1129:U1129"/>
    <mergeCell ref="S1127:U1127"/>
    <mergeCell ref="S1126:U1126"/>
    <mergeCell ref="S1124:U1124"/>
    <mergeCell ref="S1103:U1103"/>
    <mergeCell ref="S1112:U1112"/>
    <mergeCell ref="S1102:U1102"/>
    <mergeCell ref="S1097:U1097"/>
    <mergeCell ref="S1093:U1093"/>
    <mergeCell ref="S1199:U1199"/>
    <mergeCell ref="S1214:U1214"/>
    <mergeCell ref="S1215:U1215"/>
    <mergeCell ref="S1216:U1216"/>
    <mergeCell ref="S1217:U1217"/>
    <mergeCell ref="S1218:U1218"/>
    <mergeCell ref="S1219:U1219"/>
    <mergeCell ref="S1220:U1220"/>
    <mergeCell ref="S1221:U1221"/>
    <mergeCell ref="S1190:U1190"/>
    <mergeCell ref="S1191:U1191"/>
    <mergeCell ref="S1192:U1192"/>
    <mergeCell ref="S1193:U1193"/>
    <mergeCell ref="S1194:U1194"/>
    <mergeCell ref="S1195:U1195"/>
    <mergeCell ref="S1196:U1196"/>
    <mergeCell ref="S1197:U1197"/>
    <mergeCell ref="S1198:U1198"/>
    <mergeCell ref="S2159:U2159"/>
    <mergeCell ref="S2143:U2143"/>
    <mergeCell ref="S2028:U2028"/>
    <mergeCell ref="S1974:U1974"/>
    <mergeCell ref="S1970:U1970"/>
    <mergeCell ref="S1967:U1967"/>
    <mergeCell ref="S1687:U1687"/>
    <mergeCell ref="S1517:U1517"/>
    <mergeCell ref="S1503:U1503"/>
    <mergeCell ref="S1514:U1514"/>
    <mergeCell ref="S1691:U1691"/>
    <mergeCell ref="S1692:U1692"/>
    <mergeCell ref="S1693:U1693"/>
    <mergeCell ref="S1694:U1694"/>
    <mergeCell ref="S1696:U1696"/>
    <mergeCell ref="S1697:U1697"/>
    <mergeCell ref="S1698:U1698"/>
    <mergeCell ref="S1699:U1699"/>
    <mergeCell ref="S1700:U1700"/>
    <mergeCell ref="S1701:U1701"/>
    <mergeCell ref="S1702:U1702"/>
    <mergeCell ref="S1703:U1703"/>
    <mergeCell ref="S1938:U1938"/>
    <mergeCell ref="S2147:U2147"/>
    <mergeCell ref="S2358:U2358"/>
    <mergeCell ref="S2359:U2359"/>
    <mergeCell ref="S2360:U2360"/>
    <mergeCell ref="S2361:U2361"/>
    <mergeCell ref="S2362:U2362"/>
    <mergeCell ref="S2363:U2363"/>
    <mergeCell ref="S2212:U2212"/>
    <mergeCell ref="S2198:U2198"/>
    <mergeCell ref="S2176:U2176"/>
    <mergeCell ref="S2349:U2349"/>
    <mergeCell ref="S2350:U2350"/>
    <mergeCell ref="S2351:U2351"/>
    <mergeCell ref="S2352:U2352"/>
    <mergeCell ref="S2353:U2353"/>
    <mergeCell ref="S2354:U2354"/>
    <mergeCell ref="S2355:U2355"/>
    <mergeCell ref="S2356:U2356"/>
    <mergeCell ref="S2357:U2357"/>
    <mergeCell ref="S2340:U2340"/>
    <mergeCell ref="S2341:U2341"/>
    <mergeCell ref="S2342:U2342"/>
    <mergeCell ref="S2343:U2343"/>
    <mergeCell ref="S2344:U2344"/>
    <mergeCell ref="S2345:U2345"/>
    <mergeCell ref="S2327:U2327"/>
    <mergeCell ref="S2328:U2328"/>
    <mergeCell ref="S2329:U2329"/>
    <mergeCell ref="S2330:U2330"/>
    <mergeCell ref="S2346:U2346"/>
    <mergeCell ref="S2347:U2347"/>
    <mergeCell ref="S2348:U2348"/>
    <mergeCell ref="S2331:U2331"/>
    <mergeCell ref="S2332:U2332"/>
    <mergeCell ref="S2333:U2333"/>
    <mergeCell ref="S2334:U2334"/>
    <mergeCell ref="S2335:U2335"/>
    <mergeCell ref="S2336:U2336"/>
    <mergeCell ref="S2337:U2337"/>
    <mergeCell ref="S2338:U2338"/>
    <mergeCell ref="S2339:U2339"/>
    <mergeCell ref="S2318:U2318"/>
    <mergeCell ref="S2319:U2319"/>
    <mergeCell ref="S2320:U2320"/>
    <mergeCell ref="S2321:U2321"/>
    <mergeCell ref="S2322:U2322"/>
    <mergeCell ref="S2323:U2323"/>
    <mergeCell ref="S2324:U2324"/>
    <mergeCell ref="S2325:U2325"/>
    <mergeCell ref="S2326:U2326"/>
    <mergeCell ref="S2309:U2309"/>
    <mergeCell ref="S2310:U2310"/>
    <mergeCell ref="S2311:U2311"/>
    <mergeCell ref="S2312:U2312"/>
    <mergeCell ref="S2313:U2313"/>
    <mergeCell ref="S2314:U2314"/>
    <mergeCell ref="S2315:U2315"/>
    <mergeCell ref="S2316:U2316"/>
    <mergeCell ref="S2317:U2317"/>
    <mergeCell ref="S2300:U2300"/>
    <mergeCell ref="S2301:U2301"/>
    <mergeCell ref="S2302:U2302"/>
    <mergeCell ref="S2303:U2303"/>
    <mergeCell ref="S2304:U2304"/>
    <mergeCell ref="S2305:U2305"/>
    <mergeCell ref="S2306:U2306"/>
    <mergeCell ref="S2307:U2307"/>
    <mergeCell ref="S2308:U2308"/>
    <mergeCell ref="S2374:U2374"/>
    <mergeCell ref="S2365:U2365"/>
    <mergeCell ref="S2364:U2364"/>
    <mergeCell ref="S2279:U2279"/>
    <mergeCell ref="S2280:U2280"/>
    <mergeCell ref="S2281:U2281"/>
    <mergeCell ref="S2282:U2282"/>
    <mergeCell ref="S2283:U2283"/>
    <mergeCell ref="S2284:U2284"/>
    <mergeCell ref="S2285:U2285"/>
    <mergeCell ref="S2286:U2286"/>
    <mergeCell ref="S2287:U2287"/>
    <mergeCell ref="S2288:U2288"/>
    <mergeCell ref="S2289:U2289"/>
    <mergeCell ref="S2290:U2290"/>
    <mergeCell ref="S2291:U2291"/>
    <mergeCell ref="S2292:U2292"/>
    <mergeCell ref="S2293:U2293"/>
    <mergeCell ref="S2294:U2294"/>
    <mergeCell ref="S2295:U2295"/>
    <mergeCell ref="S2296:U2296"/>
    <mergeCell ref="S2297:U2297"/>
    <mergeCell ref="S2298:U2298"/>
    <mergeCell ref="S2299:U2299"/>
    <mergeCell ref="S2437:U2437"/>
    <mergeCell ref="S2436:U2436"/>
    <mergeCell ref="S2424:U2424"/>
    <mergeCell ref="S2423:U2423"/>
    <mergeCell ref="S2413:U2413"/>
    <mergeCell ref="S2412:U2412"/>
    <mergeCell ref="S2411:U2411"/>
    <mergeCell ref="S2405:U2405"/>
    <mergeCell ref="S2389:U2389"/>
    <mergeCell ref="S2419:U2419"/>
    <mergeCell ref="S2490:U2490"/>
    <mergeCell ref="S2481:U2481"/>
    <mergeCell ref="S2531:U2531"/>
    <mergeCell ref="S2480:U2480"/>
    <mergeCell ref="S2472:U2472"/>
    <mergeCell ref="S2457:U2457"/>
    <mergeCell ref="S2442:U2442"/>
    <mergeCell ref="S2440:U2440"/>
    <mergeCell ref="S2451:U2451"/>
    <mergeCell ref="S2453:U2453"/>
    <mergeCell ref="S2478:U2478"/>
    <mergeCell ref="S2483:U2483"/>
    <mergeCell ref="S2484:U2484"/>
    <mergeCell ref="S2827:U2827"/>
    <mergeCell ref="S2816:U2816"/>
    <mergeCell ref="S2808:U2808"/>
    <mergeCell ref="S2777:U2797"/>
    <mergeCell ref="S2820:U2821"/>
    <mergeCell ref="S2682:U2682"/>
    <mergeCell ref="S2660:U2660"/>
    <mergeCell ref="S2771:U2774"/>
    <mergeCell ref="S2492:U2492"/>
    <mergeCell ref="S2565:U2565"/>
    <mergeCell ref="S2627:U2647"/>
    <mergeCell ref="S2724:U2744"/>
    <mergeCell ref="S2753:U2753"/>
    <mergeCell ref="S2759:U2770"/>
    <mergeCell ref="S2502:U2502"/>
    <mergeCell ref="S2505:U2506"/>
    <mergeCell ref="S2656:U2656"/>
    <mergeCell ref="S2657:U2658"/>
    <mergeCell ref="S2623:U2623"/>
    <mergeCell ref="S2611:U2611"/>
    <mergeCell ref="S2610:U2610"/>
    <mergeCell ref="S2608:U2609"/>
    <mergeCell ref="S2590:U2590"/>
    <mergeCell ref="S2589:U2589"/>
    <mergeCell ref="D4:D5"/>
    <mergeCell ref="S52:U52"/>
    <mergeCell ref="P4:P5"/>
    <mergeCell ref="O4:O5"/>
    <mergeCell ref="S79:U79"/>
    <mergeCell ref="E24:E25"/>
    <mergeCell ref="S373:U373"/>
    <mergeCell ref="S370:U370"/>
    <mergeCell ref="S368:U368"/>
    <mergeCell ref="S337:U337"/>
    <mergeCell ref="S300:U300"/>
    <mergeCell ref="S267:U267"/>
    <mergeCell ref="S242:U242"/>
    <mergeCell ref="F24:F25"/>
    <mergeCell ref="F48:F49"/>
    <mergeCell ref="M48:M49"/>
    <mergeCell ref="V4:V5"/>
    <mergeCell ref="W4:W5"/>
    <mergeCell ref="S5:U5"/>
    <mergeCell ref="S34:U34"/>
    <mergeCell ref="Q4:U4"/>
    <mergeCell ref="Q14:Q16"/>
    <mergeCell ref="R14:R16"/>
    <mergeCell ref="S11:U11"/>
    <mergeCell ref="S17:U17"/>
    <mergeCell ref="S14:U16"/>
    <mergeCell ref="S20:U20"/>
    <mergeCell ref="S24:U24"/>
    <mergeCell ref="S28:U28"/>
    <mergeCell ref="S31:U31"/>
    <mergeCell ref="B1558:B1559"/>
    <mergeCell ref="S2148:U2148"/>
    <mergeCell ref="S2149:U2149"/>
    <mergeCell ref="S2150:U2150"/>
    <mergeCell ref="S2867:U2867"/>
    <mergeCell ref="S2846:U2846"/>
    <mergeCell ref="V123:V126"/>
    <mergeCell ref="F126:F127"/>
    <mergeCell ref="S400:U400"/>
    <mergeCell ref="S401:U401"/>
    <mergeCell ref="S407:U407"/>
    <mergeCell ref="N413:N414"/>
    <mergeCell ref="S402:U402"/>
    <mergeCell ref="S403:U403"/>
    <mergeCell ref="S404:U404"/>
    <mergeCell ref="S240:U240"/>
    <mergeCell ref="S239:U239"/>
    <mergeCell ref="S2717:U2718"/>
    <mergeCell ref="S2711:U2711"/>
    <mergeCell ref="S2712:U2712"/>
    <mergeCell ref="S2702:U2702"/>
    <mergeCell ref="S2701:U2701"/>
    <mergeCell ref="S2700:U2700"/>
    <mergeCell ref="S2691:U2693"/>
    <mergeCell ref="B1896:B1897"/>
    <mergeCell ref="S2868:U2868"/>
    <mergeCell ref="S1710:U1710"/>
    <mergeCell ref="S2109:U2109"/>
    <mergeCell ref="S2110:U2110"/>
    <mergeCell ref="S2111:U2133"/>
    <mergeCell ref="S2136:U2136"/>
    <mergeCell ref="S2138:U2138"/>
    <mergeCell ref="S2139:U2139"/>
    <mergeCell ref="S2141:U2141"/>
    <mergeCell ref="S2142:U2142"/>
    <mergeCell ref="S2145:U2145"/>
    <mergeCell ref="S2160:U2160"/>
    <mergeCell ref="S2165:U2165"/>
    <mergeCell ref="S2192:U2192"/>
    <mergeCell ref="S2199:U2199"/>
    <mergeCell ref="S2215:U2215"/>
    <mergeCell ref="S2146:U2146"/>
    <mergeCell ref="S2843:U2843"/>
    <mergeCell ref="S2842:U2842"/>
    <mergeCell ref="S2841:U2841"/>
    <mergeCell ref="S2840:U2840"/>
    <mergeCell ref="S2838:U2838"/>
    <mergeCell ref="S2839:U2839"/>
    <mergeCell ref="A4:B5"/>
    <mergeCell ref="F14:F16"/>
    <mergeCell ref="M14:M16"/>
    <mergeCell ref="C14:C16"/>
    <mergeCell ref="E4:F4"/>
    <mergeCell ref="E14:E16"/>
    <mergeCell ref="S46:U46"/>
    <mergeCell ref="S332:U332"/>
    <mergeCell ref="S333:U333"/>
    <mergeCell ref="S109:U109"/>
    <mergeCell ref="S110:U110"/>
    <mergeCell ref="S111:U111"/>
    <mergeCell ref="S121:U121"/>
    <mergeCell ref="S48:U49"/>
    <mergeCell ref="S65:U68"/>
    <mergeCell ref="S119:U119"/>
    <mergeCell ref="S37:U37"/>
    <mergeCell ref="G4:G5"/>
    <mergeCell ref="C4:C5"/>
    <mergeCell ref="H4:H5"/>
    <mergeCell ref="I4:I5"/>
    <mergeCell ref="N4:N5"/>
    <mergeCell ref="K4:L4"/>
    <mergeCell ref="M4:M5"/>
    <mergeCell ref="S2574:U2574"/>
    <mergeCell ref="S2553:U2553"/>
    <mergeCell ref="S2552:U2552"/>
    <mergeCell ref="S2549:U2549"/>
    <mergeCell ref="S2548:U2548"/>
    <mergeCell ref="S2522:U2522"/>
    <mergeCell ref="A57:A58"/>
    <mergeCell ref="A61:A62"/>
    <mergeCell ref="A332:A333"/>
    <mergeCell ref="S1506:U1506"/>
    <mergeCell ref="S969:U969"/>
    <mergeCell ref="S855:U855"/>
    <mergeCell ref="S1335:U1335"/>
    <mergeCell ref="S1331:U1331"/>
    <mergeCell ref="S1355:U1355"/>
    <mergeCell ref="S1353:U1353"/>
    <mergeCell ref="S1346:U1346"/>
    <mergeCell ref="S1342:U1342"/>
    <mergeCell ref="S1339:U1339"/>
    <mergeCell ref="S1329:U1329"/>
    <mergeCell ref="S1327:U1327"/>
    <mergeCell ref="S1312:U1312"/>
    <mergeCell ref="S1309:U1309"/>
    <mergeCell ref="S1229:U1229"/>
    <mergeCell ref="C48:C49"/>
    <mergeCell ref="Q48:Q49"/>
    <mergeCell ref="R48:R49"/>
    <mergeCell ref="B37:B39"/>
    <mergeCell ref="S348:U348"/>
    <mergeCell ref="S350:U350"/>
    <mergeCell ref="S353:U353"/>
    <mergeCell ref="S418:U418"/>
    <mergeCell ref="S73:U73"/>
    <mergeCell ref="S74:U74"/>
    <mergeCell ref="S81:U81"/>
    <mergeCell ref="S82:U82"/>
    <mergeCell ref="S102:U102"/>
    <mergeCell ref="S380:U380"/>
    <mergeCell ref="S381:U381"/>
    <mergeCell ref="S97:U97"/>
    <mergeCell ref="S98:U98"/>
    <mergeCell ref="S99:U99"/>
    <mergeCell ref="S1234:U1234"/>
    <mergeCell ref="S1235:U1235"/>
    <mergeCell ref="S1237:U1237"/>
    <mergeCell ref="S1238:U1238"/>
    <mergeCell ref="S1239:U1239"/>
    <mergeCell ref="S1240:U1240"/>
    <mergeCell ref="S1304:U1304"/>
    <mergeCell ref="S1228:U1228"/>
    <mergeCell ref="S1202:U1202"/>
    <mergeCell ref="S1203:U1203"/>
    <mergeCell ref="S1204:U1204"/>
    <mergeCell ref="S1207:U1207"/>
    <mergeCell ref="S1208:U1208"/>
    <mergeCell ref="S1209:U1209"/>
    <mergeCell ref="S1210:U1210"/>
    <mergeCell ref="S1211:U1211"/>
    <mergeCell ref="S1212:U1212"/>
    <mergeCell ref="S1213:U1213"/>
    <mergeCell ref="S1223:U1223"/>
    <mergeCell ref="S1224:U1224"/>
    <mergeCell ref="S1225:U1225"/>
    <mergeCell ref="S1226:U1226"/>
    <mergeCell ref="S1227:U1227"/>
    <mergeCell ref="S1222:U1222"/>
    <mergeCell ref="S2233:U2233"/>
    <mergeCell ref="S2235:U2236"/>
    <mergeCell ref="S38:U39"/>
    <mergeCell ref="S43:U43"/>
    <mergeCell ref="S1645:U1645"/>
    <mergeCell ref="S1356:U1356"/>
    <mergeCell ref="S2375:U2375"/>
    <mergeCell ref="S1336:U1336"/>
    <mergeCell ref="S581:U581"/>
    <mergeCell ref="S1201:U1201"/>
    <mergeCell ref="S1325:U1325"/>
    <mergeCell ref="S1319:U1319"/>
    <mergeCell ref="S1318:U1318"/>
    <mergeCell ref="S1316:U1316"/>
    <mergeCell ref="S1511:U1511"/>
    <mergeCell ref="S1326:U1326"/>
    <mergeCell ref="S377:U377"/>
    <mergeCell ref="S409:U409"/>
    <mergeCell ref="S384:U384"/>
    <mergeCell ref="S345:U345"/>
    <mergeCell ref="S346:U346"/>
    <mergeCell ref="S386:U386"/>
    <mergeCell ref="S1476:U1476"/>
    <mergeCell ref="S1505:U1505"/>
  </mergeCells>
  <printOptions horizontalCentered="1"/>
  <pageMargins left="0" right="0" top="0.3" bottom="0.3" header="0.17" footer="0.25"/>
  <pageSetup paperSize="9" scale="54" orientation="landscape" r:id="rId3"/>
  <headerFooter>
    <oddFooter>&amp;C&amp;8&amp;P of &amp;N&amp;R&amp;8as of 28Dec13</oddFooter>
  </headerFooter>
  <rowBreaks count="15" manualBreakCount="15">
    <brk id="43" max="22" man="1"/>
    <brk id="74" max="22" man="1"/>
    <brk id="103" max="22" man="1"/>
    <brk id="371" max="22" man="1"/>
    <brk id="393" max="22" man="1"/>
    <brk id="1069" max="22" man="1"/>
    <brk id="1126" max="22" man="1"/>
    <brk id="1474" max="22" man="1"/>
    <brk id="1504" max="22" man="1"/>
    <brk id="1656" max="22" man="1"/>
    <brk id="1970" max="22" man="1"/>
    <brk id="2023" max="22" man="1"/>
    <brk id="2066" max="22" man="1"/>
    <brk id="2628" max="22" man="1"/>
    <brk id="2787" max="22"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DAP 6</vt:lpstr>
      <vt:lpstr>DAP5</vt:lpstr>
      <vt:lpstr>DAP4</vt:lpstr>
      <vt:lpstr>DAP 3</vt:lpstr>
      <vt:lpstr>DAP 2</vt:lpstr>
      <vt:lpstr>DAP1</vt:lpstr>
      <vt:lpstr>'DAP 2'!Print_Area</vt:lpstr>
      <vt:lpstr>'DAP 3'!Print_Area</vt:lpstr>
      <vt:lpstr>'DAP 6'!Print_Area</vt:lpstr>
      <vt:lpstr>'DAP1'!Print_Area</vt:lpstr>
      <vt:lpstr>'DAP4'!Print_Area</vt:lpstr>
      <vt:lpstr>'DAP5'!Print_Area</vt:lpstr>
      <vt:lpstr>'DAP 2'!Print_Titles</vt:lpstr>
      <vt:lpstr>'DAP 3'!Print_Titles</vt:lpstr>
      <vt:lpstr>'DAP 6'!Print_Titles</vt:lpstr>
      <vt:lpstr>'DAP1'!Print_Titles</vt:lpstr>
      <vt:lpstr>'DAP4'!Print_Titles</vt:lpstr>
      <vt:lpstr>'DAP5'!Print_Titles</vt:lpstr>
    </vt:vector>
  </TitlesOfParts>
  <Company>ICTSS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mmarasigan</dc:creator>
  <cp:lastModifiedBy>sabuel</cp:lastModifiedBy>
  <cp:lastPrinted>2014-07-21T08:16:28Z</cp:lastPrinted>
  <dcterms:created xsi:type="dcterms:W3CDTF">2013-11-05T04:24:57Z</dcterms:created>
  <dcterms:modified xsi:type="dcterms:W3CDTF">2014-07-21T08:52:44Z</dcterms:modified>
</cp:coreProperties>
</file>